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ustomProperty3.bin" ContentType="application/vnd.openxmlformats-officedocument.spreadsheetml.customProperty"/>
  <Override PartName="/xl/drawings/drawing3.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customProperty6.bin" ContentType="application/vnd.openxmlformats-officedocument.spreadsheetml.customProperty"/>
  <Override PartName="/xl/drawings/drawing5.xml" ContentType="application/vnd.openxmlformats-officedocument.drawing+xml"/>
  <Override PartName="/xl/customProperty7.bin" ContentType="application/vnd.openxmlformats-officedocument.spreadsheetml.customProperty"/>
  <Override PartName="/xl/drawings/drawing6.xml" ContentType="application/vnd.openxmlformats-officedocument.drawing+xml"/>
  <Override PartName="/xl/drawings/drawing7.xml" ContentType="application/vnd.openxmlformats-officedocument.drawing+xml"/>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updateLinks="always" defaultThemeVersion="124226"/>
  <xr:revisionPtr revIDLastSave="0" documentId="8_{DF79D080-DC3B-422F-ABF0-893C9A1D873C}" xr6:coauthVersionLast="47" xr6:coauthVersionMax="47" xr10:uidLastSave="{00000000-0000-0000-0000-000000000000}"/>
  <bookViews>
    <workbookView xWindow="3780" yWindow="1515" windowWidth="21600" windowHeight="11295" tabRatio="838" xr2:uid="{00000000-000D-0000-FFFF-FFFF00000000}"/>
  </bookViews>
  <sheets>
    <sheet name="Summary" sheetId="13" r:id="rId1"/>
    <sheet name="Material (1,2,3)" sheetId="9" r:id="rId2"/>
    <sheet name="Manufacturing (6,7,8,9)" sheetId="10" r:id="rId3"/>
    <sheet name="Tools and Devices (16,24)" sheetId="11" r:id="rId4"/>
    <sheet name="Languages" sheetId="18" state="hidden" r:id="rId5"/>
    <sheet name="MHR" sheetId="23" r:id="rId6"/>
    <sheet name="LHR" sheetId="28" r:id="rId7"/>
    <sheet name="Help" sheetId="30" r:id="rId8"/>
    <sheet name="Docu. TcPCM and Excel" sheetId="25" state="hidden" r:id="rId9"/>
    <sheet name="Assumptions" sheetId="24" state="hidden" r:id="rId10"/>
    <sheet name="Change log" sheetId="27" state="hidden" r:id="rId11"/>
  </sheets>
  <externalReferences>
    <externalReference r:id="rId12"/>
    <externalReference r:id="rId13"/>
    <externalReference r:id="rId14"/>
  </externalReferences>
  <definedNames>
    <definedName name="CalculationQualities" localSheetId="7">[1]Assumptions!$I$5:$I$6</definedName>
    <definedName name="CalculationQualities" localSheetId="6">[2]Assumptions!$I$5:$I$6</definedName>
    <definedName name="CalculationQualities">Assumptions!$I$5:$I$6</definedName>
    <definedName name="CarbonTax">Summary!$Q$43</definedName>
    <definedName name="CylceTimeUnit" localSheetId="7">[1]Assumptions!$J$5:$J$7</definedName>
    <definedName name="CylceTimeUnit" localSheetId="6">[2]Assumptions!$J$5:$J$7</definedName>
    <definedName name="CylceTimeUnit">Assumptions!$J$5:$J$7</definedName>
    <definedName name="Dropdown">Languages!$B$301:$B$317</definedName>
    <definedName name="_xlnm.Print_Area" localSheetId="8">'Docu. TcPCM and Excel'!$B$9:$J$131</definedName>
    <definedName name="_xlnm.Print_Area" localSheetId="7">Help!$A$1:$N$182</definedName>
    <definedName name="_xlnm.Print_Area" localSheetId="6">LHR!$B$3:$X$87</definedName>
    <definedName name="_xlnm.Print_Area" localSheetId="2">'Manufacturing (6,7,8,9)'!$B$3:$AE$37</definedName>
    <definedName name="_xlnm.Print_Area" localSheetId="1">'Material (1,2,3)'!$B$3:$V$37</definedName>
    <definedName name="_xlnm.Print_Area" localSheetId="5">MHR!$B$3:$X$77</definedName>
    <definedName name="_xlnm.Print_Area" localSheetId="0">Summary!$B$3:$AA$43</definedName>
    <definedName name="_xlnm.Print_Area" localSheetId="3">'Tools and Devices (16,24)'!$B$3:$N$39</definedName>
    <definedName name="InterestOnMaterialStock">Summary!$Q$19</definedName>
    <definedName name="InterestOnWorkInProgress">Summary!$Q$31</definedName>
    <definedName name="ManufacturingComment">'Manufacturing (6,7,8,9)'!$D$34</definedName>
    <definedName name="MaterialCarbonFootprintOverhead">Summary!$V$18</definedName>
    <definedName name="MaterialCarbonFootprintOverheadRate">Summary!$U$18</definedName>
    <definedName name="MaterialClass" localSheetId="7">[1]Assumptions!$H$5:$H$6</definedName>
    <definedName name="MaterialClass" localSheetId="6">#REF!</definedName>
    <definedName name="MaterialClass">Assumptions!$H$5:$H$6</definedName>
    <definedName name="MaterialComment">'Material (1,2,3)'!$E$34</definedName>
    <definedName name="MaterialScrap">Summary!$Q$17</definedName>
    <definedName name="MaterialScrapCarbonFootprint">Summary!$V$17</definedName>
    <definedName name="MOV">Summary!$Q$18</definedName>
    <definedName name="OtherCarbonFootprint">Summary!$V$38</definedName>
    <definedName name="OtherCosts">Summary!$Q$38</definedName>
    <definedName name="PlantCarbonFootprint">Summary!$V$36</definedName>
    <definedName name="Profit">Summary!$Q$40</definedName>
    <definedName name="PurchasedPart">Assumptions!$H$6</definedName>
    <definedName name="PurchasingCurrency" localSheetId="7">[1]Assumptions!$D$5:$D$53</definedName>
    <definedName name="PurchasingCurrency" localSheetId="6">#REF!</definedName>
    <definedName name="PurchasingCurrency">Assumptions!$D$5:$D$53</definedName>
    <definedName name="PurchasingUnit" localSheetId="7">[1]Assumptions!$G$5:$G$30</definedName>
    <definedName name="PurchasingUnit" localSheetId="6">[3]Assumption!$G$5:$G$30</definedName>
    <definedName name="PurchasingUnit">Assumptions!$G$5:$G$30</definedName>
    <definedName name="QuotationCurrency" localSheetId="7">[1]Assumptions!$B$5:$B$53</definedName>
    <definedName name="QuotationCurrency" localSheetId="6">#REF!</definedName>
    <definedName name="QuotationCurrency">Assumptions!$B$5:$B$53</definedName>
    <definedName name="QuotationUnit" localSheetId="7">[1]Assumptions!$F$5:$F$30</definedName>
    <definedName name="QuotationUnit" localSheetId="6">#REF!</definedName>
    <definedName name="QuotationUnit">Assumptions!$F$5:$F$30</definedName>
    <definedName name="RawMaterial" localSheetId="7">[1]Assumptions!$H$5</definedName>
    <definedName name="RawMaterial" localSheetId="6">#REF!</definedName>
    <definedName name="RawMaterial">Assumptions!$H$5</definedName>
    <definedName name="ResearchAndDevelopmentCostRate">Summary!$P$37</definedName>
    <definedName name="ResearchAndDevelopmentCosts">Summary!$Q$37</definedName>
    <definedName name="Rough" localSheetId="7">[1]Assumptions!$I$6</definedName>
    <definedName name="Rough" localSheetId="6">#REF!</definedName>
    <definedName name="Rough">Assumptions!$I$6</definedName>
    <definedName name="SalesAndGeneralAdministrationCostRate">Summary!$P$36</definedName>
    <definedName name="SalesAndGeneralAdministrationCosts">Summary!$Q$36</definedName>
    <definedName name="SpecificDevelopmentCostsAllocated">Summary!$Q$35</definedName>
    <definedName name="SpecificdevelopmentCostsOnetimePayments">Summary!$Q$48</definedName>
    <definedName name="TermsOfPayment">Summary!$Q$41</definedName>
    <definedName name="ToolsComment">'Tools and Devices (16,24)'!$D$36</definedName>
    <definedName name="TransportCarbonFootprint">Summary!$V$42</definedName>
    <definedName name="TransportDuties">Summary!$Q$42</definedName>
    <definedName name="Wording" localSheetId="7">[1]Languages!$C$2:$C$10</definedName>
    <definedName name="Wording" localSheetId="6">#REF!</definedName>
    <definedName name="Wording">Languages!$C$2:$C$10</definedName>
  </definedNames>
  <calcPr calcId="191028"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40" i="13" l="1"/>
  <c r="Q14" i="13"/>
  <c r="X17" i="10"/>
  <c r="V17" i="10"/>
  <c r="T17" i="10"/>
  <c r="W32" i="10"/>
  <c r="T32" i="9"/>
  <c r="AD17" i="9"/>
  <c r="AG17" i="9"/>
  <c r="AF17" i="9"/>
  <c r="AF18" i="9"/>
  <c r="AD18" i="9"/>
  <c r="AG18" i="9"/>
  <c r="R40" i="13"/>
  <c r="AK14" i="10"/>
  <c r="AD18" i="10"/>
  <c r="AD17" i="10"/>
  <c r="AD34" i="10"/>
  <c r="Q26" i="13"/>
  <c r="T29" i="23"/>
  <c r="L33" i="28"/>
  <c r="L37" i="28"/>
  <c r="P19" i="9"/>
  <c r="Q19" i="9"/>
  <c r="Q8" i="13"/>
  <c r="Q9" i="13"/>
  <c r="N8" i="9"/>
  <c r="N9" i="9"/>
  <c r="M8" i="10"/>
  <c r="M9" i="10"/>
  <c r="J8" i="11"/>
  <c r="J9" i="11"/>
  <c r="J50" i="28"/>
  <c r="L52" i="28"/>
  <c r="J54" i="28"/>
  <c r="J70" i="28"/>
  <c r="L72" i="28"/>
  <c r="J74" i="28"/>
  <c r="L76" i="28"/>
  <c r="L56" i="28"/>
  <c r="O78" i="28"/>
  <c r="O80" i="28"/>
  <c r="V13" i="13"/>
  <c r="AG34" i="9"/>
  <c r="V34" i="9"/>
  <c r="T34" i="9"/>
  <c r="S34" i="9"/>
  <c r="Q37" i="9"/>
  <c r="Q36" i="9"/>
  <c r="Q35" i="9"/>
  <c r="L34" i="9"/>
  <c r="B35" i="9"/>
  <c r="AD19" i="10"/>
  <c r="AD20" i="10"/>
  <c r="AD21" i="10"/>
  <c r="AD22" i="10"/>
  <c r="AD23" i="10"/>
  <c r="AD24" i="10"/>
  <c r="AD25" i="10"/>
  <c r="AD26" i="10"/>
  <c r="AD27" i="10"/>
  <c r="AD28" i="10"/>
  <c r="AD29" i="10"/>
  <c r="AD30" i="10"/>
  <c r="AD31" i="10"/>
  <c r="AD32" i="10"/>
  <c r="AC18" i="10"/>
  <c r="AC19" i="10"/>
  <c r="AC20" i="10"/>
  <c r="AC21" i="10"/>
  <c r="AC22" i="10"/>
  <c r="AC23" i="10"/>
  <c r="AC24" i="10"/>
  <c r="AC25" i="10"/>
  <c r="AC26" i="10"/>
  <c r="AC27" i="10"/>
  <c r="AC28" i="10"/>
  <c r="AC29" i="10"/>
  <c r="AC30" i="10"/>
  <c r="AC31" i="10"/>
  <c r="AC32" i="10"/>
  <c r="AC17" i="10"/>
  <c r="C14" i="9"/>
  <c r="O19" i="13"/>
  <c r="O26" i="13"/>
  <c r="O16" i="13"/>
  <c r="Y20" i="9"/>
  <c r="Y21" i="9"/>
  <c r="Y22" i="9"/>
  <c r="Y23" i="9"/>
  <c r="Y24" i="9"/>
  <c r="Y25" i="9"/>
  <c r="Y26" i="9"/>
  <c r="Y27" i="9"/>
  <c r="Y28" i="9"/>
  <c r="Y29" i="9"/>
  <c r="Y30" i="9"/>
  <c r="Y31" i="9"/>
  <c r="Y32" i="9"/>
  <c r="U19" i="9"/>
  <c r="U21" i="9"/>
  <c r="U22" i="9"/>
  <c r="U23" i="9"/>
  <c r="U24" i="9"/>
  <c r="U25" i="9"/>
  <c r="U26" i="9"/>
  <c r="U27" i="9"/>
  <c r="U28" i="9"/>
  <c r="U29" i="9"/>
  <c r="U30" i="9"/>
  <c r="U31" i="9"/>
  <c r="U32" i="9"/>
  <c r="Q14" i="9"/>
  <c r="Q15" i="9"/>
  <c r="Q16" i="9"/>
  <c r="AT18" i="10"/>
  <c r="AT19" i="10"/>
  <c r="AT20" i="10"/>
  <c r="AT21" i="10"/>
  <c r="AT22" i="10"/>
  <c r="AT23" i="10"/>
  <c r="AT24" i="10"/>
  <c r="AT25" i="10"/>
  <c r="AT26" i="10"/>
  <c r="AT27" i="10"/>
  <c r="AT28" i="10"/>
  <c r="AT29" i="10"/>
  <c r="AT30" i="10"/>
  <c r="AT31" i="10"/>
  <c r="AT32" i="10"/>
  <c r="AT17" i="10"/>
  <c r="AU18" i="10"/>
  <c r="AU19" i="10"/>
  <c r="AU20" i="10"/>
  <c r="AU21" i="10"/>
  <c r="AU22" i="10"/>
  <c r="AU23" i="10"/>
  <c r="AU24" i="10"/>
  <c r="AU25" i="10"/>
  <c r="AU26" i="10"/>
  <c r="AU27" i="10"/>
  <c r="AU28" i="10"/>
  <c r="AU29" i="10"/>
  <c r="AU30" i="10"/>
  <c r="AU31" i="10"/>
  <c r="AU32" i="10"/>
  <c r="AU17" i="10"/>
  <c r="AK18" i="9"/>
  <c r="AK19" i="9"/>
  <c r="AK20" i="9"/>
  <c r="AK21" i="9"/>
  <c r="AK22" i="9"/>
  <c r="AK23" i="9"/>
  <c r="AK24" i="9"/>
  <c r="AK25" i="9"/>
  <c r="AK26" i="9"/>
  <c r="AK27" i="9"/>
  <c r="AK28" i="9"/>
  <c r="AK29" i="9"/>
  <c r="AK30" i="9"/>
  <c r="AK31" i="9"/>
  <c r="AK32" i="9"/>
  <c r="AK17" i="9"/>
  <c r="AI20" i="9"/>
  <c r="AI21" i="9"/>
  <c r="AI22" i="9"/>
  <c r="AI23" i="9"/>
  <c r="AI24" i="9"/>
  <c r="AI25" i="9"/>
  <c r="AI26" i="9"/>
  <c r="AI27" i="9"/>
  <c r="AI28" i="9"/>
  <c r="AI29" i="9"/>
  <c r="AI30" i="9"/>
  <c r="AI31" i="9"/>
  <c r="AI32" i="9"/>
  <c r="AU34" i="10"/>
  <c r="V29" i="13"/>
  <c r="W29" i="13"/>
  <c r="X29" i="13"/>
  <c r="AT34" i="10"/>
  <c r="V26" i="13"/>
  <c r="W26" i="13"/>
  <c r="X26" i="13"/>
  <c r="AK34" i="9"/>
  <c r="W17" i="13"/>
  <c r="X17" i="13"/>
  <c r="W38" i="13"/>
  <c r="X38" i="13"/>
  <c r="W36" i="13"/>
  <c r="X36" i="13"/>
  <c r="R19" i="13"/>
  <c r="S19" i="13"/>
  <c r="R31" i="13"/>
  <c r="S31" i="13"/>
  <c r="R38" i="13"/>
  <c r="S38" i="13"/>
  <c r="R42" i="13"/>
  <c r="S42" i="13"/>
  <c r="R43" i="13"/>
  <c r="S43" i="13"/>
  <c r="C30" i="13"/>
  <c r="B43" i="13"/>
  <c r="O39" i="13"/>
  <c r="O44" i="13"/>
  <c r="O34" i="13"/>
  <c r="O29" i="13"/>
  <c r="O27" i="13"/>
  <c r="O25" i="13"/>
  <c r="O23" i="13"/>
  <c r="O17" i="13"/>
  <c r="O15" i="13"/>
  <c r="O14" i="13"/>
  <c r="W13" i="13"/>
  <c r="R13" i="13"/>
  <c r="AD19" i="9"/>
  <c r="AD20" i="9"/>
  <c r="AG20" i="9"/>
  <c r="AD21" i="9"/>
  <c r="AG21" i="9"/>
  <c r="AD22" i="9"/>
  <c r="AG22" i="9"/>
  <c r="AD23" i="9"/>
  <c r="AG23" i="9"/>
  <c r="AD24" i="9"/>
  <c r="AG24" i="9"/>
  <c r="AD25" i="9"/>
  <c r="AG25" i="9"/>
  <c r="AD26" i="9"/>
  <c r="AG26" i="9"/>
  <c r="AD27" i="9"/>
  <c r="AG27" i="9"/>
  <c r="AD28" i="9"/>
  <c r="AG28" i="9"/>
  <c r="AD29" i="9"/>
  <c r="AG29" i="9"/>
  <c r="AD30" i="9"/>
  <c r="AG30" i="9"/>
  <c r="AD31" i="9"/>
  <c r="AG31" i="9"/>
  <c r="AD32" i="9"/>
  <c r="AG32" i="9"/>
  <c r="AG19" i="9"/>
  <c r="AI19" i="9"/>
  <c r="AI18" i="9"/>
  <c r="AH26" i="9"/>
  <c r="AJ26" i="9"/>
  <c r="AH21" i="9"/>
  <c r="AJ21" i="9"/>
  <c r="AH27" i="9"/>
  <c r="AJ27" i="9"/>
  <c r="AH25" i="9"/>
  <c r="AJ25" i="9"/>
  <c r="AH22" i="9"/>
  <c r="AJ22" i="9"/>
  <c r="AH20" i="9"/>
  <c r="AJ20" i="9"/>
  <c r="AH29" i="9"/>
  <c r="AJ29" i="9"/>
  <c r="AH19" i="9"/>
  <c r="AH28" i="9"/>
  <c r="AJ28" i="9"/>
  <c r="AH24" i="9"/>
  <c r="AJ24" i="9"/>
  <c r="AH23" i="9"/>
  <c r="AJ23" i="9"/>
  <c r="AH32" i="9"/>
  <c r="AJ32" i="9"/>
  <c r="AH31" i="9"/>
  <c r="AJ31" i="9"/>
  <c r="AH30" i="9"/>
  <c r="AJ30" i="9"/>
  <c r="AH18" i="9"/>
  <c r="AI17" i="9"/>
  <c r="AH17" i="9"/>
  <c r="AG14" i="9"/>
  <c r="AH34" i="9"/>
  <c r="AJ18" i="9"/>
  <c r="AJ19" i="9"/>
  <c r="AI34" i="9"/>
  <c r="V14" i="13"/>
  <c r="W14" i="13"/>
  <c r="X14" i="13"/>
  <c r="AJ17" i="9"/>
  <c r="AG16" i="9"/>
  <c r="AG35" i="9"/>
  <c r="AE16" i="9"/>
  <c r="AE14" i="9"/>
  <c r="AF32" i="9"/>
  <c r="AF31" i="9"/>
  <c r="AF30" i="9"/>
  <c r="AF29" i="9"/>
  <c r="AF28" i="9"/>
  <c r="AF27" i="9"/>
  <c r="AF26" i="9"/>
  <c r="AF25" i="9"/>
  <c r="AF24" i="9"/>
  <c r="AF23" i="9"/>
  <c r="AF22" i="9"/>
  <c r="AF21" i="9"/>
  <c r="AF20" i="9"/>
  <c r="AF19" i="9"/>
  <c r="Q19" i="11"/>
  <c r="Q20" i="11"/>
  <c r="Q21" i="11"/>
  <c r="Q22" i="11"/>
  <c r="Q23" i="11"/>
  <c r="Q24" i="11"/>
  <c r="Q25" i="11"/>
  <c r="Q26" i="11"/>
  <c r="Q27" i="11"/>
  <c r="Q28" i="11"/>
  <c r="Q29" i="11"/>
  <c r="Q30" i="11"/>
  <c r="Q31" i="11"/>
  <c r="Q32" i="11"/>
  <c r="Q33" i="11"/>
  <c r="Q34" i="11"/>
  <c r="Q18" i="11"/>
  <c r="AD16" i="9"/>
  <c r="AD14" i="9"/>
  <c r="AC16" i="9"/>
  <c r="AC14" i="9"/>
  <c r="AJ34" i="9"/>
  <c r="V15" i="13"/>
  <c r="V16" i="13"/>
  <c r="AR34" i="10"/>
  <c r="AR16" i="10"/>
  <c r="AQ16" i="10"/>
  <c r="AR14" i="10"/>
  <c r="AQ14" i="10"/>
  <c r="AO16" i="10"/>
  <c r="AO14" i="10"/>
  <c r="AP32" i="10"/>
  <c r="AP31" i="10"/>
  <c r="AP30" i="10"/>
  <c r="AP29" i="10"/>
  <c r="AP28" i="10"/>
  <c r="AP27" i="10"/>
  <c r="AP26" i="10"/>
  <c r="AP25" i="10"/>
  <c r="AP24" i="10"/>
  <c r="AP23" i="10"/>
  <c r="AP22" i="10"/>
  <c r="AP21" i="10"/>
  <c r="AP20" i="10"/>
  <c r="AP19" i="10"/>
  <c r="AP18" i="10"/>
  <c r="AN16" i="10"/>
  <c r="AN14" i="10"/>
  <c r="AM14" i="10"/>
  <c r="AM16" i="10"/>
  <c r="AK16" i="10"/>
  <c r="AL14" i="10"/>
  <c r="AL16" i="10"/>
  <c r="AL19" i="10"/>
  <c r="AL20" i="10"/>
  <c r="AL21" i="10"/>
  <c r="AL22" i="10"/>
  <c r="AL23" i="10"/>
  <c r="AL24" i="10"/>
  <c r="AL25" i="10"/>
  <c r="AL26" i="10"/>
  <c r="AL27" i="10"/>
  <c r="AL28" i="10"/>
  <c r="AL29" i="10"/>
  <c r="AL30" i="10"/>
  <c r="AL31" i="10"/>
  <c r="AL32" i="10"/>
  <c r="AN25" i="10"/>
  <c r="AQ25" i="10"/>
  <c r="AR25" i="10"/>
  <c r="AS25" i="10"/>
  <c r="AN24" i="10"/>
  <c r="AQ24" i="10"/>
  <c r="AR24" i="10"/>
  <c r="AS24" i="10"/>
  <c r="AN23" i="10"/>
  <c r="AQ23" i="10"/>
  <c r="AR23" i="10"/>
  <c r="AS23" i="10"/>
  <c r="AN22" i="10"/>
  <c r="AQ22" i="10"/>
  <c r="AR22" i="10"/>
  <c r="AS22" i="10"/>
  <c r="AN21" i="10"/>
  <c r="AQ21" i="10"/>
  <c r="AR21" i="10"/>
  <c r="AS21" i="10"/>
  <c r="AN32" i="10"/>
  <c r="AQ32" i="10"/>
  <c r="AR32" i="10"/>
  <c r="AS32" i="10"/>
  <c r="AN20" i="10"/>
  <c r="AQ20" i="10"/>
  <c r="AR20" i="10"/>
  <c r="AS20" i="10"/>
  <c r="AN31" i="10"/>
  <c r="AQ31" i="10"/>
  <c r="AR31" i="10"/>
  <c r="AS31" i="10"/>
  <c r="AN19" i="10"/>
  <c r="AQ19" i="10"/>
  <c r="AR19" i="10"/>
  <c r="AS19" i="10"/>
  <c r="AN30" i="10"/>
  <c r="AQ30" i="10"/>
  <c r="AR30" i="10"/>
  <c r="AS30" i="10"/>
  <c r="AN29" i="10"/>
  <c r="AQ29" i="10"/>
  <c r="AR29" i="10"/>
  <c r="AS29" i="10"/>
  <c r="AN28" i="10"/>
  <c r="AQ28" i="10"/>
  <c r="AR28" i="10"/>
  <c r="AS28" i="10"/>
  <c r="AN27" i="10"/>
  <c r="AQ27" i="10"/>
  <c r="AR27" i="10"/>
  <c r="AS27" i="10"/>
  <c r="AN26" i="10"/>
  <c r="AQ26" i="10"/>
  <c r="AR26" i="10"/>
  <c r="AS26" i="10"/>
  <c r="Q17" i="11"/>
  <c r="P17" i="11"/>
  <c r="Q36" i="11"/>
  <c r="P36" i="11"/>
  <c r="Q15" i="11"/>
  <c r="P15" i="11"/>
  <c r="P37" i="11"/>
  <c r="Q37" i="11"/>
  <c r="V30" i="13"/>
  <c r="W30" i="13"/>
  <c r="X30" i="13"/>
  <c r="F19" i="11"/>
  <c r="F20" i="11"/>
  <c r="F21" i="11"/>
  <c r="F22" i="11"/>
  <c r="F23" i="11"/>
  <c r="F24" i="11"/>
  <c r="F25" i="11"/>
  <c r="F26" i="11"/>
  <c r="F27" i="11"/>
  <c r="F28" i="11"/>
  <c r="F29" i="11"/>
  <c r="F30" i="11"/>
  <c r="F31" i="11"/>
  <c r="F32" i="11"/>
  <c r="F33" i="11"/>
  <c r="F34" i="11"/>
  <c r="F18" i="11"/>
  <c r="AK12" i="10"/>
  <c r="I18" i="10"/>
  <c r="AL18" i="10"/>
  <c r="I19" i="10"/>
  <c r="I20" i="10"/>
  <c r="I21" i="10"/>
  <c r="I22" i="10"/>
  <c r="I23" i="10"/>
  <c r="I24" i="10"/>
  <c r="I25" i="10"/>
  <c r="I26" i="10"/>
  <c r="I27" i="10"/>
  <c r="I28" i="10"/>
  <c r="I29" i="10"/>
  <c r="I30" i="10"/>
  <c r="I31" i="10"/>
  <c r="I32" i="10"/>
  <c r="I17" i="10"/>
  <c r="M17" i="10"/>
  <c r="AL17" i="10"/>
  <c r="AN17" i="10"/>
  <c r="AQ17" i="10"/>
  <c r="AN18" i="10"/>
  <c r="AQ18" i="10"/>
  <c r="AR18" i="10"/>
  <c r="AS18" i="10"/>
  <c r="AS17" i="10"/>
  <c r="AS34" i="10"/>
  <c r="V22" i="13"/>
  <c r="C20" i="13"/>
  <c r="AR17" i="10"/>
  <c r="AP17" i="10"/>
  <c r="AR35" i="10"/>
  <c r="W22" i="13"/>
  <c r="X22" i="13"/>
  <c r="V27" i="13"/>
  <c r="W27" i="13"/>
  <c r="X27" i="13"/>
  <c r="V32" i="13"/>
  <c r="W32" i="13"/>
  <c r="X32" i="13"/>
  <c r="B74" i="23"/>
  <c r="C70" i="23"/>
  <c r="C68" i="23"/>
  <c r="C65" i="23"/>
  <c r="C63" i="23"/>
  <c r="C61" i="23"/>
  <c r="C59" i="23"/>
  <c r="C57" i="23"/>
  <c r="C55" i="23"/>
  <c r="C53" i="23"/>
  <c r="C50" i="23"/>
  <c r="C48" i="23"/>
  <c r="C46" i="23"/>
  <c r="C44" i="23"/>
  <c r="C42" i="23"/>
  <c r="C40" i="23"/>
  <c r="C38" i="23"/>
  <c r="C35" i="23"/>
  <c r="O33" i="23"/>
  <c r="C33" i="23"/>
  <c r="O31" i="23"/>
  <c r="C31" i="23"/>
  <c r="O29" i="23"/>
  <c r="C29" i="23"/>
  <c r="O27" i="23"/>
  <c r="C27" i="23"/>
  <c r="O25" i="23"/>
  <c r="C25" i="23"/>
  <c r="O23" i="23"/>
  <c r="C23" i="23"/>
  <c r="O21" i="23"/>
  <c r="C21" i="23"/>
  <c r="O18" i="23"/>
  <c r="E18" i="23"/>
  <c r="O16" i="23"/>
  <c r="E16" i="23"/>
  <c r="O14" i="23"/>
  <c r="E14" i="23"/>
  <c r="C12" i="23"/>
  <c r="U10" i="23"/>
  <c r="U9" i="23"/>
  <c r="U8" i="23"/>
  <c r="U7" i="23"/>
  <c r="H7" i="23"/>
  <c r="T3" i="23"/>
  <c r="H3" i="23"/>
  <c r="B37" i="11"/>
  <c r="N36" i="11"/>
  <c r="M36" i="11"/>
  <c r="L36" i="11"/>
  <c r="K36" i="11"/>
  <c r="G36" i="11"/>
  <c r="N17" i="11"/>
  <c r="F17" i="11"/>
  <c r="M17" i="11"/>
  <c r="J17" i="11"/>
  <c r="N15" i="11"/>
  <c r="F15" i="11"/>
  <c r="M15" i="11"/>
  <c r="L15" i="11"/>
  <c r="K15" i="11"/>
  <c r="E15" i="11"/>
  <c r="J15" i="11"/>
  <c r="I15" i="11"/>
  <c r="H15" i="11"/>
  <c r="G15" i="11"/>
  <c r="D15" i="11"/>
  <c r="C15" i="11"/>
  <c r="B15" i="11"/>
  <c r="B13" i="11"/>
  <c r="P12" i="11"/>
  <c r="G12" i="11"/>
  <c r="B12" i="11"/>
  <c r="J10" i="11"/>
  <c r="J7" i="11"/>
  <c r="L3" i="11"/>
  <c r="B35" i="10"/>
  <c r="Z34" i="10"/>
  <c r="W34" i="10"/>
  <c r="U34" i="10"/>
  <c r="S34" i="10"/>
  <c r="Q34" i="10"/>
  <c r="P34" i="10"/>
  <c r="M34" i="10"/>
  <c r="K34" i="10"/>
  <c r="Z16" i="10"/>
  <c r="K16" i="10"/>
  <c r="Y16" i="10"/>
  <c r="W16" i="10"/>
  <c r="V16" i="10"/>
  <c r="T16" i="10"/>
  <c r="S16" i="10"/>
  <c r="Q16" i="10"/>
  <c r="P16" i="10"/>
  <c r="O16" i="10"/>
  <c r="N16" i="10"/>
  <c r="M16" i="10"/>
  <c r="L16" i="10"/>
  <c r="Z14" i="10"/>
  <c r="K14" i="10"/>
  <c r="Y14" i="10"/>
  <c r="W14" i="10"/>
  <c r="U14" i="10"/>
  <c r="T14" i="10"/>
  <c r="S14" i="10"/>
  <c r="R14" i="10"/>
  <c r="Q14" i="10"/>
  <c r="P14" i="10"/>
  <c r="O14" i="10"/>
  <c r="N14" i="10"/>
  <c r="M14" i="10"/>
  <c r="L14" i="10"/>
  <c r="J14" i="10"/>
  <c r="H14" i="10"/>
  <c r="G14" i="10"/>
  <c r="E14" i="10"/>
  <c r="D14" i="10"/>
  <c r="C14" i="10"/>
  <c r="B14" i="10"/>
  <c r="L12" i="10"/>
  <c r="B12" i="10"/>
  <c r="M10" i="10"/>
  <c r="M7" i="10"/>
  <c r="W3" i="10"/>
  <c r="V16" i="9"/>
  <c r="T16" i="9"/>
  <c r="S16" i="9"/>
  <c r="V14" i="9"/>
  <c r="L14" i="9"/>
  <c r="T14" i="9"/>
  <c r="R14" i="9"/>
  <c r="K14" i="9"/>
  <c r="J14" i="9"/>
  <c r="P14" i="9"/>
  <c r="O14" i="9"/>
  <c r="N14" i="9"/>
  <c r="M14" i="9"/>
  <c r="I14" i="9"/>
  <c r="H14" i="9"/>
  <c r="G14" i="9"/>
  <c r="F14" i="9"/>
  <c r="E14" i="9"/>
  <c r="D14" i="9"/>
  <c r="B14" i="9"/>
  <c r="AC12" i="9"/>
  <c r="M12" i="9"/>
  <c r="B12" i="9"/>
  <c r="N10" i="9"/>
  <c r="N7" i="9"/>
  <c r="R3" i="9"/>
  <c r="O48" i="13"/>
  <c r="O47" i="13"/>
  <c r="O46" i="13"/>
  <c r="O35" i="13"/>
  <c r="O43" i="13"/>
  <c r="O42" i="13"/>
  <c r="B36" i="13"/>
  <c r="O41" i="13"/>
  <c r="O40" i="13"/>
  <c r="C29" i="13"/>
  <c r="O30" i="13"/>
  <c r="C28" i="13"/>
  <c r="O38" i="13"/>
  <c r="C27" i="13"/>
  <c r="O37" i="13"/>
  <c r="C26" i="13"/>
  <c r="O36" i="13"/>
  <c r="C25" i="13"/>
  <c r="C24" i="13"/>
  <c r="O32" i="13"/>
  <c r="B22" i="13"/>
  <c r="O31" i="13"/>
  <c r="O28" i="13"/>
  <c r="O22" i="13"/>
  <c r="C19" i="13"/>
  <c r="O24" i="13"/>
  <c r="C18" i="13"/>
  <c r="C17" i="13"/>
  <c r="O20" i="13"/>
  <c r="C16" i="13"/>
  <c r="O18" i="13"/>
  <c r="C15" i="13"/>
  <c r="C14" i="13"/>
  <c r="Q13" i="13"/>
  <c r="B12" i="13"/>
  <c r="T10" i="13"/>
  <c r="P10" i="9"/>
  <c r="Q10" i="13"/>
  <c r="G10" i="13"/>
  <c r="T9" i="13"/>
  <c r="P9" i="9"/>
  <c r="G9" i="13"/>
  <c r="T8" i="13"/>
  <c r="P8" i="9"/>
  <c r="G8" i="13"/>
  <c r="T7" i="13"/>
  <c r="P7" i="9"/>
  <c r="Q7" i="13"/>
  <c r="G7" i="13"/>
  <c r="V3" i="13"/>
  <c r="F3" i="13"/>
  <c r="J231" i="18"/>
  <c r="I231" i="18"/>
  <c r="J199" i="18"/>
  <c r="I199" i="18"/>
  <c r="J151" i="18"/>
  <c r="I151" i="18"/>
  <c r="J112" i="18"/>
  <c r="I112" i="18"/>
  <c r="J23" i="18"/>
  <c r="I23" i="18"/>
  <c r="J13" i="18"/>
  <c r="I13" i="18"/>
  <c r="AA48" i="13"/>
  <c r="H231" i="18"/>
  <c r="G231" i="18"/>
  <c r="H199" i="18"/>
  <c r="G199" i="18"/>
  <c r="H151" i="18"/>
  <c r="G151" i="18"/>
  <c r="H112" i="18"/>
  <c r="G112" i="18"/>
  <c r="H23" i="18"/>
  <c r="G23" i="18"/>
  <c r="H13" i="18"/>
  <c r="G13" i="18"/>
  <c r="F231" i="18"/>
  <c r="F199" i="18"/>
  <c r="F151" i="18"/>
  <c r="F112" i="18"/>
  <c r="F23" i="18"/>
  <c r="F13" i="18"/>
  <c r="AB19" i="9"/>
  <c r="AB21" i="9"/>
  <c r="AB22" i="9"/>
  <c r="AB23" i="9"/>
  <c r="AB24" i="9"/>
  <c r="AB25" i="9"/>
  <c r="AB26" i="9"/>
  <c r="AB27" i="9"/>
  <c r="AB28" i="9"/>
  <c r="AB29" i="9"/>
  <c r="AB30" i="9"/>
  <c r="AB31" i="9"/>
  <c r="AB32" i="9"/>
  <c r="AA6" i="13"/>
  <c r="L8" i="11"/>
  <c r="L9" i="11"/>
  <c r="L10" i="11"/>
  <c r="L7" i="11"/>
  <c r="G8" i="11"/>
  <c r="G9" i="11"/>
  <c r="G10" i="11"/>
  <c r="G7" i="11"/>
  <c r="G8" i="10"/>
  <c r="G9" i="10"/>
  <c r="G10" i="10"/>
  <c r="G7" i="10"/>
  <c r="G8" i="9"/>
  <c r="G9" i="9"/>
  <c r="G10" i="9"/>
  <c r="G7" i="9"/>
  <c r="L5" i="11"/>
  <c r="L6" i="11"/>
  <c r="M21" i="10"/>
  <c r="M22" i="10"/>
  <c r="M23" i="10"/>
  <c r="M24" i="10"/>
  <c r="M25" i="10"/>
  <c r="M29" i="10"/>
  <c r="M30" i="10"/>
  <c r="M31" i="10"/>
  <c r="M32" i="10"/>
  <c r="P17" i="10"/>
  <c r="P18" i="10"/>
  <c r="P19" i="10"/>
  <c r="P20" i="10"/>
  <c r="P21" i="10"/>
  <c r="P22" i="10"/>
  <c r="P23" i="10"/>
  <c r="P24" i="10"/>
  <c r="P26" i="10"/>
  <c r="P27" i="10"/>
  <c r="P28" i="10"/>
  <c r="P30" i="10"/>
  <c r="P31" i="10"/>
  <c r="P32" i="10"/>
  <c r="M18" i="10"/>
  <c r="M19" i="10"/>
  <c r="M20" i="10"/>
  <c r="M26" i="10"/>
  <c r="M27" i="10"/>
  <c r="M28" i="10"/>
  <c r="T32" i="10"/>
  <c r="T19" i="10"/>
  <c r="T18" i="10"/>
  <c r="T31" i="10"/>
  <c r="T30" i="10"/>
  <c r="T28" i="10"/>
  <c r="T27" i="10"/>
  <c r="T26" i="10"/>
  <c r="T24" i="10"/>
  <c r="T23" i="10"/>
  <c r="T22" i="10"/>
  <c r="T21" i="10"/>
  <c r="T20" i="10"/>
  <c r="P29" i="10"/>
  <c r="T29" i="10"/>
  <c r="P25" i="10"/>
  <c r="T25" i="10"/>
  <c r="AA5" i="13"/>
  <c r="V6" i="23"/>
  <c r="V5" i="23"/>
  <c r="U6" i="23"/>
  <c r="U5" i="23"/>
  <c r="C112" i="18"/>
  <c r="C151" i="18"/>
  <c r="C199" i="18"/>
  <c r="C231" i="18"/>
  <c r="J31" i="11"/>
  <c r="N16" i="11"/>
  <c r="Z15" i="10"/>
  <c r="Y15" i="10"/>
  <c r="W15" i="10"/>
  <c r="V15" i="10"/>
  <c r="AH19" i="10"/>
  <c r="AH20" i="10"/>
  <c r="AH21" i="10"/>
  <c r="AH22" i="10"/>
  <c r="AH23" i="10"/>
  <c r="AH24" i="10"/>
  <c r="AH25" i="10"/>
  <c r="AH26" i="10"/>
  <c r="AH27" i="10"/>
  <c r="AH28" i="10"/>
  <c r="AH29" i="10"/>
  <c r="AH30" i="10"/>
  <c r="AH31" i="10"/>
  <c r="AH32" i="10"/>
  <c r="AE18" i="10"/>
  <c r="AE19" i="10"/>
  <c r="AE20" i="10"/>
  <c r="AE21" i="10"/>
  <c r="AE22" i="10"/>
  <c r="AE23" i="10"/>
  <c r="AE24" i="10"/>
  <c r="AE25" i="10"/>
  <c r="AE26" i="10"/>
  <c r="AE27" i="10"/>
  <c r="AE28" i="10"/>
  <c r="AE29" i="10"/>
  <c r="AE30" i="10"/>
  <c r="AE31" i="10"/>
  <c r="AE32" i="10"/>
  <c r="N19" i="11"/>
  <c r="N20" i="11"/>
  <c r="N21" i="11"/>
  <c r="N22" i="11"/>
  <c r="N23" i="11"/>
  <c r="N24" i="11"/>
  <c r="N25" i="11"/>
  <c r="N26" i="11"/>
  <c r="N27" i="11"/>
  <c r="N28" i="11"/>
  <c r="N29" i="11"/>
  <c r="N30" i="11"/>
  <c r="N31" i="11"/>
  <c r="N32" i="11"/>
  <c r="N33" i="11"/>
  <c r="N34" i="11"/>
  <c r="N18" i="11"/>
  <c r="N37" i="11"/>
  <c r="Q30" i="13"/>
  <c r="AE17" i="10"/>
  <c r="AE34" i="10"/>
  <c r="Q25" i="13"/>
  <c r="AC34" i="10"/>
  <c r="Q23" i="13"/>
  <c r="R30" i="13"/>
  <c r="S30" i="13"/>
  <c r="X32" i="10"/>
  <c r="X31" i="10"/>
  <c r="X30" i="10"/>
  <c r="X29" i="10"/>
  <c r="X28" i="10"/>
  <c r="X27" i="10"/>
  <c r="X26" i="10"/>
  <c r="X25" i="10"/>
  <c r="X24" i="10"/>
  <c r="X23" i="10"/>
  <c r="X22" i="10"/>
  <c r="X21" i="10"/>
  <c r="X20" i="10"/>
  <c r="X19" i="10"/>
  <c r="AA7" i="13"/>
  <c r="E3" i="11"/>
  <c r="E3" i="10"/>
  <c r="R10" i="9"/>
  <c r="P17" i="9"/>
  <c r="Q17" i="9"/>
  <c r="Y17" i="9"/>
  <c r="X17" i="9"/>
  <c r="S17" i="9"/>
  <c r="V17" i="9"/>
  <c r="R9" i="9"/>
  <c r="R8" i="9"/>
  <c r="U17" i="9"/>
  <c r="AB17" i="9"/>
  <c r="E199" i="18"/>
  <c r="D199" i="18"/>
  <c r="W20" i="9"/>
  <c r="W28" i="9"/>
  <c r="W21" i="9"/>
  <c r="W29" i="9"/>
  <c r="W22" i="9"/>
  <c r="W30" i="9"/>
  <c r="W23" i="9"/>
  <c r="W31" i="9"/>
  <c r="W24" i="9"/>
  <c r="W32" i="9"/>
  <c r="W25" i="9"/>
  <c r="W17" i="9"/>
  <c r="W18" i="9"/>
  <c r="W26" i="9"/>
  <c r="W19" i="9"/>
  <c r="W27" i="9"/>
  <c r="K31" i="11"/>
  <c r="P18" i="9"/>
  <c r="P20" i="9"/>
  <c r="Q20" i="9"/>
  <c r="P21" i="9"/>
  <c r="P22" i="9"/>
  <c r="P23" i="9"/>
  <c r="P24" i="9"/>
  <c r="P25" i="9"/>
  <c r="P26" i="9"/>
  <c r="P27" i="9"/>
  <c r="P28" i="9"/>
  <c r="P29" i="9"/>
  <c r="P30" i="9"/>
  <c r="P31" i="9"/>
  <c r="P32" i="9"/>
  <c r="U20" i="9"/>
  <c r="AB20" i="9"/>
  <c r="Q21" i="9"/>
  <c r="Q32" i="9"/>
  <c r="Q31" i="9"/>
  <c r="Q30" i="9"/>
  <c r="Q29" i="9"/>
  <c r="Q28" i="9"/>
  <c r="Q24" i="9"/>
  <c r="Q23" i="9"/>
  <c r="Q22" i="9"/>
  <c r="Y19" i="9"/>
  <c r="Q18" i="9"/>
  <c r="Q27" i="9"/>
  <c r="Q26" i="9"/>
  <c r="Q25" i="9"/>
  <c r="W10" i="10"/>
  <c r="W9" i="10"/>
  <c r="W8" i="10"/>
  <c r="W7" i="10"/>
  <c r="R7" i="9"/>
  <c r="Y18" i="9"/>
  <c r="Y34" i="9"/>
  <c r="X23" i="9"/>
  <c r="Z23" i="9"/>
  <c r="S23" i="9"/>
  <c r="AA23" i="9"/>
  <c r="S24" i="9"/>
  <c r="V24" i="9"/>
  <c r="X24" i="9"/>
  <c r="Z24" i="9"/>
  <c r="X29" i="9"/>
  <c r="Z29" i="9"/>
  <c r="S29" i="9"/>
  <c r="AA29" i="9"/>
  <c r="V29" i="9"/>
  <c r="S31" i="9"/>
  <c r="AA31" i="9"/>
  <c r="X31" i="9"/>
  <c r="Z31" i="9"/>
  <c r="X27" i="9"/>
  <c r="Z27" i="9"/>
  <c r="S27" i="9"/>
  <c r="V27" i="9"/>
  <c r="S20" i="9"/>
  <c r="AA20" i="9"/>
  <c r="X20" i="9"/>
  <c r="Z20" i="9"/>
  <c r="X18" i="9"/>
  <c r="S18" i="9"/>
  <c r="AA18" i="9"/>
  <c r="S19" i="9"/>
  <c r="AA19" i="9"/>
  <c r="X19" i="9"/>
  <c r="Z19" i="9"/>
  <c r="X28" i="9"/>
  <c r="Z28" i="9"/>
  <c r="S28" i="9"/>
  <c r="AA28" i="9"/>
  <c r="S25" i="9"/>
  <c r="AA25" i="9"/>
  <c r="X25" i="9"/>
  <c r="Z25" i="9"/>
  <c r="X30" i="9"/>
  <c r="Z30" i="9"/>
  <c r="S30" i="9"/>
  <c r="AA30" i="9"/>
  <c r="V30" i="9"/>
  <c r="X26" i="9"/>
  <c r="Z26" i="9"/>
  <c r="S26" i="9"/>
  <c r="AA26" i="9"/>
  <c r="V26" i="9"/>
  <c r="X32" i="9"/>
  <c r="Z32" i="9"/>
  <c r="S32" i="9"/>
  <c r="AA32" i="9"/>
  <c r="V32" i="9"/>
  <c r="S22" i="9"/>
  <c r="AA22" i="9"/>
  <c r="X22" i="9"/>
  <c r="Z22" i="9"/>
  <c r="X21" i="9"/>
  <c r="Z21" i="9"/>
  <c r="S21" i="9"/>
  <c r="AA21" i="9"/>
  <c r="V21" i="9"/>
  <c r="S5" i="9"/>
  <c r="X5" i="10"/>
  <c r="Y5" i="10"/>
  <c r="X6" i="10"/>
  <c r="Z18" i="9"/>
  <c r="U18" i="9"/>
  <c r="AB18" i="9"/>
  <c r="V28" i="9"/>
  <c r="V19" i="9"/>
  <c r="V31" i="9"/>
  <c r="V18" i="9"/>
  <c r="V20" i="9"/>
  <c r="AA27" i="9"/>
  <c r="V22" i="9"/>
  <c r="V25" i="9"/>
  <c r="AA24" i="9"/>
  <c r="V23" i="9"/>
  <c r="AI20" i="10"/>
  <c r="AI24" i="10"/>
  <c r="AI27" i="10"/>
  <c r="AI28" i="10"/>
  <c r="AI32" i="10"/>
  <c r="AI21" i="10"/>
  <c r="AI25" i="10"/>
  <c r="AI29" i="10"/>
  <c r="AI17" i="10"/>
  <c r="AI22" i="10"/>
  <c r="AI18" i="10"/>
  <c r="AI30" i="10"/>
  <c r="AI26" i="10"/>
  <c r="AI23" i="10"/>
  <c r="AI12" i="10"/>
  <c r="AI31" i="10"/>
  <c r="AI19" i="10"/>
  <c r="AB18" i="10"/>
  <c r="AB19" i="10"/>
  <c r="AB20" i="10"/>
  <c r="AB21" i="10"/>
  <c r="AB22" i="10"/>
  <c r="AB23" i="10"/>
  <c r="AB24" i="10"/>
  <c r="AB25" i="10"/>
  <c r="AB26" i="10"/>
  <c r="AB27" i="10"/>
  <c r="AB28" i="10"/>
  <c r="AB29" i="10"/>
  <c r="AB30" i="10"/>
  <c r="AB31" i="10"/>
  <c r="AB32" i="10"/>
  <c r="AB17" i="10"/>
  <c r="AA19" i="10"/>
  <c r="AF19" i="10"/>
  <c r="AA20" i="10"/>
  <c r="AF20" i="10"/>
  <c r="AA21" i="10"/>
  <c r="AF21" i="10"/>
  <c r="AA22" i="10"/>
  <c r="AF22" i="10"/>
  <c r="AA23" i="10"/>
  <c r="AF23" i="10"/>
  <c r="AA24" i="10"/>
  <c r="AF24" i="10"/>
  <c r="AA25" i="10"/>
  <c r="AF25" i="10"/>
  <c r="AA26" i="10"/>
  <c r="AF26" i="10"/>
  <c r="AA27" i="10"/>
  <c r="AF27" i="10"/>
  <c r="AA28" i="10"/>
  <c r="AF28" i="10"/>
  <c r="AA29" i="10"/>
  <c r="AF29" i="10"/>
  <c r="AA30" i="10"/>
  <c r="AF30" i="10"/>
  <c r="AA31" i="10"/>
  <c r="AF31" i="10"/>
  <c r="AA32" i="10"/>
  <c r="AF32" i="10"/>
  <c r="AA18" i="10"/>
  <c r="AF18" i="10"/>
  <c r="AA17" i="10"/>
  <c r="AF17" i="10"/>
  <c r="AF34" i="10"/>
  <c r="AB34" i="10"/>
  <c r="P70" i="23"/>
  <c r="P65" i="23"/>
  <c r="P63" i="23"/>
  <c r="P61" i="23"/>
  <c r="P59" i="23"/>
  <c r="U70" i="23"/>
  <c r="U65" i="23"/>
  <c r="U63" i="23"/>
  <c r="U61" i="23"/>
  <c r="U59" i="23"/>
  <c r="U50" i="23"/>
  <c r="U48" i="23"/>
  <c r="U44" i="23"/>
  <c r="U42" i="23"/>
  <c r="M59" i="23"/>
  <c r="P50" i="23"/>
  <c r="P48" i="23"/>
  <c r="P44" i="23"/>
  <c r="P42" i="23"/>
  <c r="M48" i="23"/>
  <c r="M35" i="23"/>
  <c r="M33" i="23"/>
  <c r="M31" i="23"/>
  <c r="M29" i="23"/>
  <c r="M27" i="23"/>
  <c r="M25" i="23"/>
  <c r="M23" i="23"/>
  <c r="S15" i="10"/>
  <c r="S35" i="10"/>
  <c r="D13" i="18"/>
  <c r="E231" i="18"/>
  <c r="D231" i="18"/>
  <c r="L25" i="23"/>
  <c r="O48" i="23"/>
  <c r="L29" i="23"/>
  <c r="L27" i="23"/>
  <c r="T33" i="23"/>
  <c r="O59" i="23"/>
  <c r="T59" i="23"/>
  <c r="T48" i="23"/>
  <c r="L31" i="23"/>
  <c r="O61" i="23"/>
  <c r="T61" i="23"/>
  <c r="O63" i="23"/>
  <c r="T63" i="23"/>
  <c r="L33" i="23"/>
  <c r="L35" i="23"/>
  <c r="O42" i="23"/>
  <c r="T42" i="23"/>
  <c r="O44" i="23"/>
  <c r="T44" i="23"/>
  <c r="T65" i="23"/>
  <c r="O65" i="23"/>
  <c r="E16" i="10"/>
  <c r="O50" i="23"/>
  <c r="O70" i="23"/>
  <c r="T70" i="23"/>
  <c r="T50" i="23"/>
  <c r="E13" i="18"/>
  <c r="E151" i="18"/>
  <c r="E112" i="18"/>
  <c r="E23" i="18"/>
  <c r="D151" i="18"/>
  <c r="D112" i="18"/>
  <c r="D23" i="18"/>
  <c r="C23" i="18"/>
  <c r="O31" i="11"/>
  <c r="B23" i="18"/>
  <c r="B13" i="18"/>
  <c r="K10" i="11"/>
  <c r="K9" i="11"/>
  <c r="K8" i="11"/>
  <c r="K7" i="11"/>
  <c r="E10" i="11"/>
  <c r="E9" i="11"/>
  <c r="E8" i="11"/>
  <c r="E7" i="11"/>
  <c r="M6" i="11"/>
  <c r="Y6" i="10"/>
  <c r="T6" i="9"/>
  <c r="S6" i="9"/>
  <c r="F3" i="9"/>
  <c r="U7" i="10"/>
  <c r="F8" i="9"/>
  <c r="E8" i="10"/>
  <c r="U8" i="10"/>
  <c r="F7" i="9"/>
  <c r="E7" i="10"/>
  <c r="F9" i="9"/>
  <c r="E9" i="10"/>
  <c r="U9" i="10"/>
  <c r="F10" i="9"/>
  <c r="E10" i="10"/>
  <c r="U10" i="10"/>
  <c r="M5" i="11"/>
  <c r="T5" i="9"/>
  <c r="D13" i="11"/>
  <c r="V21" i="10"/>
  <c r="V22" i="10"/>
  <c r="V25" i="10"/>
  <c r="V26" i="10"/>
  <c r="V29" i="10"/>
  <c r="V30" i="10"/>
  <c r="AH17" i="10"/>
  <c r="Y26" i="10"/>
  <c r="Z26" i="10"/>
  <c r="AG26" i="10"/>
  <c r="Y21" i="10"/>
  <c r="Z21" i="10"/>
  <c r="AG21" i="10"/>
  <c r="Y25" i="10"/>
  <c r="Z25" i="10"/>
  <c r="AG25" i="10"/>
  <c r="Y17" i="10"/>
  <c r="AG17" i="10"/>
  <c r="Y30" i="10"/>
  <c r="Z30" i="10"/>
  <c r="AG30" i="10"/>
  <c r="Y29" i="10"/>
  <c r="Z29" i="10"/>
  <c r="AG29" i="10"/>
  <c r="Y22" i="10"/>
  <c r="Z22" i="10"/>
  <c r="AG22" i="10"/>
  <c r="V32" i="10"/>
  <c r="V24" i="10"/>
  <c r="V27" i="10"/>
  <c r="V19" i="10"/>
  <c r="J19" i="11"/>
  <c r="J20" i="11"/>
  <c r="J21" i="11"/>
  <c r="J22" i="11"/>
  <c r="J23" i="11"/>
  <c r="J24" i="11"/>
  <c r="J25" i="11"/>
  <c r="J26" i="11"/>
  <c r="J27" i="11"/>
  <c r="J28" i="11"/>
  <c r="J29" i="11"/>
  <c r="J30" i="11"/>
  <c r="J32" i="11"/>
  <c r="J33" i="11"/>
  <c r="J34" i="11"/>
  <c r="M16" i="11"/>
  <c r="M37" i="11"/>
  <c r="L16" i="11"/>
  <c r="L37" i="11"/>
  <c r="Q47" i="13"/>
  <c r="K16" i="11"/>
  <c r="J16" i="11"/>
  <c r="T15" i="10"/>
  <c r="Q15" i="10"/>
  <c r="Q35" i="10"/>
  <c r="P15" i="10"/>
  <c r="P35" i="10"/>
  <c r="O15" i="10"/>
  <c r="M15" i="10"/>
  <c r="M35" i="10"/>
  <c r="L15" i="10"/>
  <c r="V15" i="9"/>
  <c r="T15" i="9"/>
  <c r="T35" i="9"/>
  <c r="S15" i="9"/>
  <c r="P15" i="9"/>
  <c r="J18" i="11"/>
  <c r="Z17" i="10"/>
  <c r="K24" i="11"/>
  <c r="O24" i="11"/>
  <c r="K33" i="11"/>
  <c r="O33" i="11"/>
  <c r="K18" i="11"/>
  <c r="O18" i="11"/>
  <c r="K32" i="11"/>
  <c r="O32" i="11"/>
  <c r="K23" i="11"/>
  <c r="O23" i="11"/>
  <c r="K30" i="11"/>
  <c r="O30" i="11"/>
  <c r="K22" i="11"/>
  <c r="O22" i="11"/>
  <c r="K29" i="11"/>
  <c r="O29" i="11"/>
  <c r="K21" i="11"/>
  <c r="O21" i="11"/>
  <c r="K28" i="11"/>
  <c r="O28" i="11"/>
  <c r="K20" i="11"/>
  <c r="O20" i="11"/>
  <c r="K27" i="11"/>
  <c r="O27" i="11"/>
  <c r="K19" i="11"/>
  <c r="O19" i="11"/>
  <c r="K26" i="11"/>
  <c r="O26" i="11"/>
  <c r="K34" i="11"/>
  <c r="O34" i="11"/>
  <c r="K25" i="11"/>
  <c r="O25" i="11"/>
  <c r="Y27" i="10"/>
  <c r="Z27" i="10"/>
  <c r="AG27" i="10"/>
  <c r="Y32" i="10"/>
  <c r="Z32" i="10"/>
  <c r="AG32" i="10"/>
  <c r="Y19" i="10"/>
  <c r="Z19" i="10"/>
  <c r="AG19" i="10"/>
  <c r="V31" i="10"/>
  <c r="AG31" i="10"/>
  <c r="V20" i="10"/>
  <c r="Y24" i="10"/>
  <c r="Z24" i="10"/>
  <c r="AG24" i="10"/>
  <c r="V23" i="10"/>
  <c r="V28" i="10"/>
  <c r="V18" i="10"/>
  <c r="AH18" i="10"/>
  <c r="AH34" i="10"/>
  <c r="Q29" i="13"/>
  <c r="W35" i="10"/>
  <c r="AB34" i="9"/>
  <c r="Q17" i="13"/>
  <c r="K37" i="11"/>
  <c r="AA17" i="9"/>
  <c r="Y20" i="10"/>
  <c r="Z20" i="10"/>
  <c r="AG20" i="10"/>
  <c r="Y28" i="10"/>
  <c r="Z28" i="10"/>
  <c r="AG28" i="10"/>
  <c r="AG23" i="10"/>
  <c r="Y23" i="10"/>
  <c r="Z23" i="10"/>
  <c r="Y31" i="10"/>
  <c r="Z31" i="10"/>
  <c r="Y18" i="10"/>
  <c r="AG18" i="10"/>
  <c r="V35" i="10"/>
  <c r="Z18" i="10"/>
  <c r="X18" i="10"/>
  <c r="Z17" i="9"/>
  <c r="Z34" i="9"/>
  <c r="Q15" i="13"/>
  <c r="Q16" i="13"/>
  <c r="S36" i="9"/>
  <c r="S37" i="9"/>
  <c r="V36" i="9"/>
  <c r="AA34" i="9"/>
  <c r="Q18" i="13"/>
  <c r="X34" i="9"/>
  <c r="AG34" i="10"/>
  <c r="Q28" i="13"/>
  <c r="Z35" i="10"/>
  <c r="AA34" i="10"/>
  <c r="Q22" i="13"/>
  <c r="Q24" i="13"/>
  <c r="P18" i="13"/>
  <c r="Q20" i="13"/>
  <c r="Q27" i="13"/>
  <c r="V37" i="9"/>
  <c r="S36" i="10"/>
  <c r="S37" i="10"/>
  <c r="S35" i="9"/>
  <c r="P28" i="13"/>
  <c r="Q32" i="13"/>
  <c r="Q34" i="13"/>
  <c r="Q36" i="13"/>
  <c r="R41" i="13"/>
  <c r="S41" i="13"/>
  <c r="V35" i="9"/>
  <c r="Q37" i="13"/>
  <c r="R37" i="13"/>
  <c r="S37" i="13"/>
  <c r="W42" i="13"/>
  <c r="X42" i="13"/>
  <c r="S40" i="13"/>
  <c r="R35" i="13"/>
  <c r="S35" i="13"/>
  <c r="W18" i="13"/>
  <c r="X18" i="13"/>
  <c r="V20" i="13"/>
  <c r="V34" i="13"/>
  <c r="V44" i="13"/>
  <c r="W34" i="13"/>
  <c r="X34" i="13"/>
  <c r="W44" i="13"/>
  <c r="X44" i="13"/>
  <c r="W16" i="13"/>
  <c r="X16" i="13"/>
  <c r="W15" i="13"/>
  <c r="X15" i="13"/>
  <c r="W20" i="13"/>
  <c r="X20" i="13"/>
  <c r="Q39" i="13"/>
  <c r="Q44" i="13"/>
  <c r="R36" i="13"/>
  <c r="S36" i="13"/>
  <c r="R16" i="13"/>
  <c r="S16" i="13"/>
  <c r="R28" i="13"/>
  <c r="S28" i="13"/>
  <c r="R29" i="13"/>
  <c r="S29" i="13"/>
  <c r="R24" i="13"/>
  <c r="S24" i="13"/>
  <c r="R25" i="13"/>
  <c r="S25" i="13"/>
  <c r="R17" i="13"/>
  <c r="S17" i="13"/>
  <c r="R22" i="13"/>
  <c r="S22" i="13"/>
  <c r="R14" i="13"/>
  <c r="S14" i="13"/>
  <c r="R18" i="13"/>
  <c r="S18" i="13"/>
  <c r="R26" i="13"/>
  <c r="S26" i="13"/>
  <c r="R20" i="13"/>
  <c r="S20" i="13"/>
  <c r="R15" i="13"/>
  <c r="S15" i="13"/>
  <c r="R44" i="13"/>
  <c r="S44" i="13"/>
  <c r="R23" i="13"/>
  <c r="S23" i="13"/>
  <c r="R27" i="13"/>
  <c r="S27" i="13"/>
  <c r="R32" i="13"/>
  <c r="S32" i="13"/>
  <c r="R34" i="13"/>
  <c r="S34" i="13"/>
  <c r="R39" i="13"/>
  <c r="S39"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tc={F56AA331-AE61-4732-A98F-8DABC46AE1FB}</author>
  </authors>
  <commentList>
    <comment ref="T32" authorId="0" shapeId="0" xr:uid="{F56AA331-AE61-4732-A98F-8DABC46AE1FB}">
      <text>
        <t xml:space="preserve">[Kommentarthread]
Ihre Version von Excel gestattet Ihnen das Lesen dieses Kommentarthreads. Jegliche Bearbeitungen daran werden jedoch entfernt, wenn die Datei in einer neueren Version von Excel geöffnet wird. Weitere Informationen: https://go.microsoft.com/fwlink/?linkid=870924.
Kommentar:
    Material scrap costs = material scrap% x (material cost + material scrap cost% x material cost)
Explanation: material scrap costs also consider the scrap of the scrap but not the Material overhead
Def material scrap cost = scrap cost which are resulting from manufacturing scrap
Exemple : material scrap 0% considered in this case - can be adapted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tc={A58D44C1-FA42-4F05-AD4B-EDDA99510D29}</author>
  </authors>
  <commentList>
    <comment ref="W32" authorId="0" shapeId="0" xr:uid="{A58D44C1-FA42-4F05-AD4B-EDDA99510D29}">
      <text>
        <t xml:space="preserve">[Kommentarthread]
Ihre Version von Excel gestattet Ihnen das Lesen dieses Kommentarthreads. Jegliche Bearbeitungen daran werden jedoch entfernt, wenn die Datei in einer neueren Version von Excel geöffnet wird. Weitere Informationen: https://go.microsoft.com/fwlink/?linkid=870924.
Kommentar:
    Manuf scrap costs = manuf scrap% * (direct manuf costs + manuf overhead costs + manuf scrap %  * (direct manuf costs + manuf overhead costs))
Explanation: manuf scrap costs also consider the scrap of the scrap and manuf overhead
Exemple : manuf  scrap 0% considered in this case - can be adapted
</t>
      </text>
    </comment>
  </commentList>
</comments>
</file>

<file path=xl/sharedStrings.xml><?xml version="1.0" encoding="utf-8"?>
<sst xmlns="http://schemas.openxmlformats.org/spreadsheetml/2006/main" count="3448" uniqueCount="1966">
  <si>
    <t>Version</t>
  </si>
  <si>
    <t>4.1</t>
  </si>
  <si>
    <t>Language</t>
  </si>
  <si>
    <t>English</t>
  </si>
  <si>
    <t>Costs</t>
  </si>
  <si>
    <t>Carbon footprint</t>
  </si>
  <si>
    <t>%</t>
  </si>
  <si>
    <t>pcs</t>
  </si>
  <si>
    <t>Data must be filled in according to Level 1 resp. Level 2 as requested by Bosch Purchasing
For RFQC please select full swing year (e.g. SOP+2)
For Spectra / RPP activities please select actual year</t>
  </si>
  <si>
    <t>1. Please complete in Quotation unit PCS
2. Carbon footprint data - only needed on special request</t>
  </si>
  <si>
    <t>M1</t>
  </si>
  <si>
    <t>M2</t>
  </si>
  <si>
    <t>M3</t>
  </si>
  <si>
    <t>M4</t>
  </si>
  <si>
    <t>M5</t>
  </si>
  <si>
    <t>M6</t>
  </si>
  <si>
    <t>M7</t>
  </si>
  <si>
    <t>M8</t>
  </si>
  <si>
    <t>M9</t>
  </si>
  <si>
    <t>M10</t>
  </si>
  <si>
    <t>M11</t>
  </si>
  <si>
    <t>M12</t>
  </si>
  <si>
    <t>M13</t>
  </si>
  <si>
    <t>M14</t>
  </si>
  <si>
    <t>M15</t>
  </si>
  <si>
    <t>M16</t>
  </si>
  <si>
    <t>M17</t>
  </si>
  <si>
    <t>M18</t>
  </si>
  <si>
    <t>M19</t>
  </si>
  <si>
    <t>M20</t>
  </si>
  <si>
    <t>M21</t>
  </si>
  <si>
    <t>M22</t>
  </si>
  <si>
    <t>M23</t>
  </si>
  <si>
    <t>Total DMC</t>
  </si>
  <si>
    <t>Total raw material costs</t>
  </si>
  <si>
    <t>Total purchased part costs</t>
  </si>
  <si>
    <t>Total MOC</t>
  </si>
  <si>
    <t>Total material scrap costs</t>
  </si>
  <si>
    <t>Total raw material carbon footprint</t>
  </si>
  <si>
    <t>Total purchased part carbon footprint</t>
  </si>
  <si>
    <t>Total material scrap carbon footprint</t>
  </si>
  <si>
    <t>kg Co2e</t>
  </si>
  <si>
    <t>Material</t>
  </si>
  <si>
    <t>Sum Machine costs + Setup costs + Tool Maintenance</t>
  </si>
  <si>
    <t>P1</t>
  </si>
  <si>
    <t>P2</t>
  </si>
  <si>
    <t>P3</t>
  </si>
  <si>
    <t>P4</t>
  </si>
  <si>
    <t>P4.1</t>
  </si>
  <si>
    <t>P5</t>
  </si>
  <si>
    <t>P6</t>
  </si>
  <si>
    <t>P6.1</t>
  </si>
  <si>
    <t>P7</t>
  </si>
  <si>
    <t>P20</t>
  </si>
  <si>
    <t>P8</t>
  </si>
  <si>
    <t>P9</t>
  </si>
  <si>
    <t>P10</t>
  </si>
  <si>
    <t>P11</t>
  </si>
  <si>
    <t>P12</t>
  </si>
  <si>
    <t>P13</t>
  </si>
  <si>
    <t>P14</t>
  </si>
  <si>
    <t>P15</t>
  </si>
  <si>
    <t>P16</t>
  </si>
  <si>
    <t>P17</t>
  </si>
  <si>
    <t>P18</t>
  </si>
  <si>
    <t>P19</t>
  </si>
  <si>
    <t>P21</t>
  </si>
  <si>
    <t>P33</t>
  </si>
  <si>
    <t>P34</t>
  </si>
  <si>
    <t>P35</t>
  </si>
  <si>
    <t>P36</t>
  </si>
  <si>
    <t>P37</t>
  </si>
  <si>
    <t>P38</t>
  </si>
  <si>
    <t>P39</t>
  </si>
  <si>
    <t>Calculation quality</t>
  </si>
  <si>
    <t>Cycle time calculation in seconds</t>
  </si>
  <si>
    <t>Machine costs</t>
  </si>
  <si>
    <t>Direct labor costs</t>
  </si>
  <si>
    <t>Setup costs per unit</t>
  </si>
  <si>
    <t>Process costs</t>
  </si>
  <si>
    <t>Tool maintenance</t>
  </si>
  <si>
    <t>Manufacturing overhead costs</t>
  </si>
  <si>
    <t>Manufacturing Scrap</t>
  </si>
  <si>
    <t>Machine carbon footprint</t>
  </si>
  <si>
    <t>Carbon footprint per unit</t>
  </si>
  <si>
    <t>Manufacturing Scrap carbon footprint</t>
  </si>
  <si>
    <t>in</t>
  </si>
  <si>
    <t>seconds</t>
  </si>
  <si>
    <t>Detailed</t>
  </si>
  <si>
    <t>Manuf.</t>
  </si>
  <si>
    <t>For Level 2: calculation quality  "Detailed" is mandatory for all in-house manufacturing  steps
- Machine Hourly rate (contains Utilization ratio) : for each step usage of MHR Tab recommended  
- Total labor hourly rate (contains Utilization ratio) : usage of LHR Tab recommended</t>
  </si>
  <si>
    <t>I1</t>
  </si>
  <si>
    <t>I2</t>
  </si>
  <si>
    <t>I3</t>
  </si>
  <si>
    <t>I8</t>
  </si>
  <si>
    <t>I12</t>
  </si>
  <si>
    <t>I4</t>
  </si>
  <si>
    <t>I5</t>
  </si>
  <si>
    <t>I6</t>
  </si>
  <si>
    <t>I7</t>
  </si>
  <si>
    <t>I9</t>
  </si>
  <si>
    <t>I10</t>
  </si>
  <si>
    <t>I11</t>
  </si>
  <si>
    <t>I13</t>
  </si>
  <si>
    <t>I20</t>
  </si>
  <si>
    <t>I21</t>
  </si>
  <si>
    <t>Ende</t>
  </si>
  <si>
    <t>Tools</t>
  </si>
  <si>
    <t>Select the wording in the Summary Sheet (top right) --&gt;</t>
  </si>
  <si>
    <t>Wording:</t>
  </si>
  <si>
    <t>German</t>
  </si>
  <si>
    <t>Svenska</t>
  </si>
  <si>
    <t>Français</t>
  </si>
  <si>
    <t>Español</t>
  </si>
  <si>
    <t>Russian</t>
  </si>
  <si>
    <t>Chinese （简体中文）</t>
  </si>
  <si>
    <t>Here you can enter specific languages or adjust existing languages</t>
  </si>
  <si>
    <t>a</t>
  </si>
  <si>
    <t>BOSCH Material and Process Evaluation (MPE)</t>
  </si>
  <si>
    <t>b</t>
  </si>
  <si>
    <t>Summary</t>
  </si>
  <si>
    <t>Zusammenfassung</t>
  </si>
  <si>
    <t>Summering</t>
  </si>
  <si>
    <t>Sommaire</t>
  </si>
  <si>
    <t>Resumen</t>
  </si>
  <si>
    <t>Итог</t>
  </si>
  <si>
    <t>总结</t>
  </si>
  <si>
    <t>c</t>
  </si>
  <si>
    <t>Matière</t>
  </si>
  <si>
    <t>Материал</t>
  </si>
  <si>
    <t>材料</t>
  </si>
  <si>
    <t>d</t>
  </si>
  <si>
    <t>Manufacturing</t>
  </si>
  <si>
    <t>Fertigung</t>
  </si>
  <si>
    <t>Tillverkning</t>
  </si>
  <si>
    <t>Fabrication</t>
  </si>
  <si>
    <t>Proceso de fabricación</t>
  </si>
  <si>
    <t>Изготовление</t>
  </si>
  <si>
    <t>制造加工</t>
  </si>
  <si>
    <t>e</t>
  </si>
  <si>
    <t>Machine-hour rate</t>
  </si>
  <si>
    <t>Maschinenstundensatz</t>
  </si>
  <si>
    <t>Maskintimkostnad</t>
  </si>
  <si>
    <t>Taux horaire machine</t>
  </si>
  <si>
    <t>Tarifa de Maquina</t>
  </si>
  <si>
    <t>Стоимость машино-часа</t>
  </si>
  <si>
    <t>机器小时费率</t>
  </si>
  <si>
    <t>f</t>
  </si>
  <si>
    <t>Tools and Devices</t>
  </si>
  <si>
    <t>Werkzeuge und Vorrichtungen</t>
  </si>
  <si>
    <t>Verktyg och utrustningar</t>
  </si>
  <si>
    <t>Outillage et équipements</t>
  </si>
  <si>
    <t>Utillajes, Moldes y herramientas</t>
  </si>
  <si>
    <t>Инвестиции в инструмент и оснастку</t>
  </si>
  <si>
    <t>模具和设备</t>
  </si>
  <si>
    <t>g</t>
  </si>
  <si>
    <t>Wording</t>
  </si>
  <si>
    <t>Wortlaut</t>
  </si>
  <si>
    <t>Formulering</t>
  </si>
  <si>
    <t>Langue</t>
  </si>
  <si>
    <t>Idioma</t>
  </si>
  <si>
    <t>Формулировки</t>
  </si>
  <si>
    <t>表达式</t>
  </si>
  <si>
    <t>Material (1,2,3)</t>
  </si>
  <si>
    <t>Manufacturing (6,7,8,9)</t>
  </si>
  <si>
    <t>Tools and Devices (16,24)</t>
  </si>
  <si>
    <t>MHR</t>
  </si>
  <si>
    <t>Help</t>
  </si>
  <si>
    <t>0.01</t>
  </si>
  <si>
    <t>Field</t>
  </si>
  <si>
    <t>Feld</t>
  </si>
  <si>
    <t>Fält</t>
  </si>
  <si>
    <t>Champs</t>
  </si>
  <si>
    <t>Celda</t>
  </si>
  <si>
    <t>Поле</t>
  </si>
  <si>
    <t>领域</t>
  </si>
  <si>
    <t>0.02</t>
  </si>
  <si>
    <t>Level 1</t>
  </si>
  <si>
    <t>0.03</t>
  </si>
  <si>
    <t>Level 2</t>
  </si>
  <si>
    <t>0.04</t>
  </si>
  <si>
    <t>calculated</t>
  </si>
  <si>
    <t>kalkuliert</t>
  </si>
  <si>
    <t>Beräknad</t>
  </si>
  <si>
    <t>Calculé</t>
  </si>
  <si>
    <t>Calculado</t>
  </si>
  <si>
    <t>Рассчитано</t>
  </si>
  <si>
    <t>计算的</t>
  </si>
  <si>
    <t>0.1</t>
  </si>
  <si>
    <t>Supplier</t>
  </si>
  <si>
    <t>Lieferant</t>
  </si>
  <si>
    <t>Leverantör</t>
  </si>
  <si>
    <t>Fournisseur</t>
  </si>
  <si>
    <t xml:space="preserve">Proveedor </t>
  </si>
  <si>
    <t>Поставщик</t>
  </si>
  <si>
    <t>供应商</t>
  </si>
  <si>
    <t>0.2</t>
  </si>
  <si>
    <t>Contact person</t>
  </si>
  <si>
    <t>Kontaktperson</t>
  </si>
  <si>
    <t>Kontakt person</t>
  </si>
  <si>
    <t>personne à contacter</t>
  </si>
  <si>
    <t>Persona a contactar</t>
  </si>
  <si>
    <t>Контактное лицо</t>
  </si>
  <si>
    <t>联系人</t>
  </si>
  <si>
    <t>0.3</t>
  </si>
  <si>
    <t>E-Mail</t>
  </si>
  <si>
    <t>E-mail</t>
  </si>
  <si>
    <t>电子邮件</t>
  </si>
  <si>
    <t>0.4</t>
  </si>
  <si>
    <t>Telephone</t>
  </si>
  <si>
    <t>Telefon</t>
  </si>
  <si>
    <t>Téléphone</t>
  </si>
  <si>
    <t>Teléfono</t>
  </si>
  <si>
    <t>Телефон</t>
  </si>
  <si>
    <t>电话</t>
  </si>
  <si>
    <t>0.5</t>
  </si>
  <si>
    <t>Project</t>
  </si>
  <si>
    <t>Projekt</t>
  </si>
  <si>
    <t>Projet</t>
  </si>
  <si>
    <t>Proyecto</t>
  </si>
  <si>
    <t>Проект</t>
  </si>
  <si>
    <t>项目</t>
  </si>
  <si>
    <t>0.6</t>
  </si>
  <si>
    <t>Part number</t>
  </si>
  <si>
    <t>Sachnummer</t>
  </si>
  <si>
    <t>Artikel nummer</t>
  </si>
  <si>
    <t>Référence pièce</t>
  </si>
  <si>
    <t>Número de parte/pieza</t>
  </si>
  <si>
    <t>Номер изделия</t>
  </si>
  <si>
    <t>部件号</t>
  </si>
  <si>
    <t>0.7</t>
  </si>
  <si>
    <t>Part name</t>
  </si>
  <si>
    <t>Teilename</t>
  </si>
  <si>
    <t>Artikel namn</t>
  </si>
  <si>
    <t>Designation pièce</t>
  </si>
  <si>
    <t>Nombre de parte/pieza</t>
  </si>
  <si>
    <t>Наименование изделия</t>
  </si>
  <si>
    <t>部件名</t>
  </si>
  <si>
    <t>0.8</t>
  </si>
  <si>
    <t>Quotation date</t>
  </si>
  <si>
    <t>Angebotsdatum</t>
  </si>
  <si>
    <t>Offert Datum</t>
  </si>
  <si>
    <t>Date du chiffrage</t>
  </si>
  <si>
    <t>Fecha de la cotización</t>
  </si>
  <si>
    <t>Дата запроса</t>
  </si>
  <si>
    <t>报价日期</t>
  </si>
  <si>
    <t>0.9</t>
  </si>
  <si>
    <t>Premises</t>
  </si>
  <si>
    <t>Prämisen</t>
  </si>
  <si>
    <t>Förutsättningar</t>
  </si>
  <si>
    <t>Locaux</t>
  </si>
  <si>
    <t>Premisas</t>
  </si>
  <si>
    <t>Данные</t>
  </si>
  <si>
    <t>生产场地</t>
  </si>
  <si>
    <t>0.10</t>
  </si>
  <si>
    <t>Project time (years)</t>
  </si>
  <si>
    <t>Projektzeit (Jahre)</t>
  </si>
  <si>
    <t>Projekt längd (år)</t>
  </si>
  <si>
    <t>Durée de production (années)</t>
  </si>
  <si>
    <t>Vida del proyecto (años)</t>
  </si>
  <si>
    <t>Длительность проекта</t>
  </si>
  <si>
    <t>项目时间（年限）</t>
  </si>
  <si>
    <t>0.11</t>
  </si>
  <si>
    <t>Average annual quantity</t>
  </si>
  <si>
    <t>Jährliche Anzahl</t>
  </si>
  <si>
    <t>Årsvolym, antal artiklar</t>
  </si>
  <si>
    <t>Quantité annuelle</t>
  </si>
  <si>
    <t>Volumen anual</t>
  </si>
  <si>
    <t>Годовая потребность</t>
  </si>
  <si>
    <t>年产量</t>
  </si>
  <si>
    <t>0.12</t>
  </si>
  <si>
    <t>Manufacturing lot size</t>
  </si>
  <si>
    <t>Fertigungslosgröße</t>
  </si>
  <si>
    <t>tillverknings mängd</t>
  </si>
  <si>
    <t>Taille des lots de fabrication</t>
  </si>
  <si>
    <t>Número de Lotes de Fabricación</t>
  </si>
  <si>
    <t>Размер производственной партии</t>
  </si>
  <si>
    <t>生产批量大小</t>
  </si>
  <si>
    <t>0.13</t>
  </si>
  <si>
    <t>Production site</t>
  </si>
  <si>
    <t>Fertigungsstandort</t>
  </si>
  <si>
    <t>Tillverkningsort, land</t>
  </si>
  <si>
    <t>Site de production</t>
  </si>
  <si>
    <t>Lugar de producción</t>
  </si>
  <si>
    <t>Производственная площадка</t>
  </si>
  <si>
    <t>生产地点</t>
  </si>
  <si>
    <t>0.14</t>
  </si>
  <si>
    <t>Quotation currency</t>
  </si>
  <si>
    <t>Angebotswährung</t>
  </si>
  <si>
    <t>Offert valuta</t>
  </si>
  <si>
    <t>Devise de chiffrage</t>
  </si>
  <si>
    <t>Moneda de cotización</t>
  </si>
  <si>
    <t>Валюта</t>
  </si>
  <si>
    <t>报价货币</t>
  </si>
  <si>
    <t>0.15</t>
  </si>
  <si>
    <t>Quotation unit</t>
  </si>
  <si>
    <t>Angebotseinheit</t>
  </si>
  <si>
    <t>Offert enhet</t>
  </si>
  <si>
    <t>Unité de chiffrage</t>
  </si>
  <si>
    <t>Unidad de cotización</t>
  </si>
  <si>
    <t>Единица измерения</t>
  </si>
  <si>
    <t>报价单位</t>
  </si>
  <si>
    <t>0.151</t>
  </si>
  <si>
    <t>Date of calculation</t>
  </si>
  <si>
    <t>Datum der Kalkulation</t>
  </si>
  <si>
    <t>beräkningsdatum</t>
  </si>
  <si>
    <t>Date du calcul</t>
  </si>
  <si>
    <t>Fecha del cálculo</t>
  </si>
  <si>
    <t>Дата расчета</t>
  </si>
  <si>
    <t>计算日期</t>
  </si>
  <si>
    <t>0.16</t>
  </si>
  <si>
    <t>Specific</t>
  </si>
  <si>
    <t>Spezifisch</t>
  </si>
  <si>
    <t>Specifik</t>
  </si>
  <si>
    <t>Spécifique</t>
  </si>
  <si>
    <t>Específico</t>
  </si>
  <si>
    <t>Прочее</t>
  </si>
  <si>
    <t>特性</t>
  </si>
  <si>
    <t>0.17</t>
  </si>
  <si>
    <t>0.18</t>
  </si>
  <si>
    <t>0.19</t>
  </si>
  <si>
    <t>0.20</t>
  </si>
  <si>
    <t>0.21</t>
  </si>
  <si>
    <t>0.22</t>
  </si>
  <si>
    <t>0.23</t>
  </si>
  <si>
    <t>Special agreements</t>
  </si>
  <si>
    <t>Spezielle Vereinbarungen</t>
  </si>
  <si>
    <t>Unika förutsättningar eller avtal</t>
  </si>
  <si>
    <t>Accords spéciaux</t>
  </si>
  <si>
    <t>Acuerdos especiales</t>
  </si>
  <si>
    <t>Особые договоренности</t>
  </si>
  <si>
    <t>特殊协议</t>
  </si>
  <si>
    <t>0.24</t>
  </si>
  <si>
    <t>Comments:</t>
  </si>
  <si>
    <t>Kommentar:</t>
  </si>
  <si>
    <t>Kommentarer</t>
  </si>
  <si>
    <t>Commentaires</t>
  </si>
  <si>
    <t>Comentarios</t>
  </si>
  <si>
    <t>Комментарии</t>
  </si>
  <si>
    <t>注解：</t>
  </si>
  <si>
    <t>0.25</t>
  </si>
  <si>
    <t>Fraction</t>
  </si>
  <si>
    <t>Anteil</t>
  </si>
  <si>
    <t>Del</t>
  </si>
  <si>
    <t>Fracción</t>
  </si>
  <si>
    <t>Доля</t>
  </si>
  <si>
    <t>部分</t>
  </si>
  <si>
    <t>Raw materials</t>
  </si>
  <si>
    <t>Rohmaterialien</t>
  </si>
  <si>
    <t>Råmaterial</t>
  </si>
  <si>
    <t>Matière première</t>
  </si>
  <si>
    <t>Materia prima</t>
  </si>
  <si>
    <t>Сырье</t>
  </si>
  <si>
    <t>原材料</t>
  </si>
  <si>
    <t>Purchased parts</t>
  </si>
  <si>
    <t>Kaufteile</t>
  </si>
  <si>
    <t>Köpta artiklar</t>
  </si>
  <si>
    <t>Pièces achetées</t>
  </si>
  <si>
    <t>Partes/piezas compradas</t>
  </si>
  <si>
    <t>Покупные изделия</t>
  </si>
  <si>
    <t>采购零件</t>
  </si>
  <si>
    <t>Direct material</t>
  </si>
  <si>
    <t>Materialeinzelkosten</t>
  </si>
  <si>
    <t>Direkt Materialkostnad</t>
  </si>
  <si>
    <t>Coûts de lancement / Coûts</t>
  </si>
  <si>
    <t>Costes Directos de Material</t>
  </si>
  <si>
    <t>Прямые затраты на материалы</t>
  </si>
  <si>
    <t>直接材料成本</t>
  </si>
  <si>
    <t>Material scrap</t>
  </si>
  <si>
    <t>Materialausschuss</t>
  </si>
  <si>
    <t xml:space="preserve">Kassationskostnad </t>
  </si>
  <si>
    <t>Déchets sur achat</t>
  </si>
  <si>
    <t>Deshecho, chatarra</t>
  </si>
  <si>
    <t>Отходы материалов включены</t>
  </si>
  <si>
    <t>报废材料</t>
  </si>
  <si>
    <t>Material overhead</t>
  </si>
  <si>
    <t>Materialgemeinkosten</t>
  </si>
  <si>
    <t>Material OH</t>
  </si>
  <si>
    <t>Frais sur achats</t>
  </si>
  <si>
    <t>Gastos generales de material (OH)</t>
  </si>
  <si>
    <t>Накладные расходы на материалы</t>
  </si>
  <si>
    <t>物料管理费</t>
  </si>
  <si>
    <t>Interest material</t>
  </si>
  <si>
    <t>Materialzinsen</t>
  </si>
  <si>
    <t>Räntekostnad material</t>
  </si>
  <si>
    <t>Intérêts sur matière</t>
  </si>
  <si>
    <t>Interés del material</t>
  </si>
  <si>
    <t>Проценты на материал</t>
  </si>
  <si>
    <t>材料利息</t>
  </si>
  <si>
    <t>Materialkosten</t>
  </si>
  <si>
    <t>Materialkostnader</t>
  </si>
  <si>
    <t>Coûts matière</t>
  </si>
  <si>
    <t>Costes de Material</t>
  </si>
  <si>
    <t>Затраты на материал</t>
  </si>
  <si>
    <t>材料费用</t>
  </si>
  <si>
    <t>Machines</t>
  </si>
  <si>
    <t>Maschinen</t>
  </si>
  <si>
    <t>Maskiner</t>
  </si>
  <si>
    <t>Máquinas</t>
  </si>
  <si>
    <t>Машины</t>
  </si>
  <si>
    <t>机器</t>
  </si>
  <si>
    <t>Setup costs</t>
  </si>
  <si>
    <t>Rüstkosten</t>
  </si>
  <si>
    <t>Omställningskostnader</t>
  </si>
  <si>
    <t>Coût de lancement</t>
  </si>
  <si>
    <t>Coste de montaje/instalación</t>
  </si>
  <si>
    <t>Стоимость наладки</t>
  </si>
  <si>
    <t>设置成本/成本</t>
  </si>
  <si>
    <t>Direct labor</t>
  </si>
  <si>
    <t>Direkter Lohn</t>
  </si>
  <si>
    <t>Direkt lön</t>
  </si>
  <si>
    <t>Main d'œuvre directe</t>
  </si>
  <si>
    <t>Mano de obra</t>
  </si>
  <si>
    <t>Прямой человеческий труд</t>
  </si>
  <si>
    <t>直接劳动</t>
  </si>
  <si>
    <t>Tools and devices, maintenance costs</t>
  </si>
  <si>
    <t>Werkzeuge und Vorrichtungen, Instandhaltungskosten</t>
  </si>
  <si>
    <t>underhållskostnader</t>
  </si>
  <si>
    <t>Outils / équipements, coûts de maintenance</t>
  </si>
  <si>
    <t>Herramientas y dispositivos, costes de mantenimiento</t>
  </si>
  <si>
    <t>Инструменты и устройства, стоимость обслуживания</t>
  </si>
  <si>
    <t>模具和设备维护成本</t>
  </si>
  <si>
    <t>Process manufacturing</t>
  </si>
  <si>
    <t>Prozessfertigungsschritt</t>
  </si>
  <si>
    <t>Process tillverkningssteg</t>
  </si>
  <si>
    <t>Process de fabrication</t>
  </si>
  <si>
    <t>Fabricación por procesos</t>
  </si>
  <si>
    <t>Процессное производство</t>
  </si>
  <si>
    <t>流程制造</t>
  </si>
  <si>
    <t>Manufacturing I</t>
  </si>
  <si>
    <t>Fertigungskosten I</t>
  </si>
  <si>
    <t>Tillverkning I</t>
  </si>
  <si>
    <t>Coûts de fabrication I</t>
  </si>
  <si>
    <t>Costes de fabricación I</t>
  </si>
  <si>
    <t>Производственные издержки I</t>
  </si>
  <si>
    <t>制造成本 I</t>
  </si>
  <si>
    <t>Manufacturing overhead</t>
  </si>
  <si>
    <t>Fertigungsgemeinkosten</t>
  </si>
  <si>
    <t>Tillverknings OH</t>
  </si>
  <si>
    <t>Frais de fabrication</t>
  </si>
  <si>
    <t>Gastos generales de fabricación (OH)</t>
  </si>
  <si>
    <t>Накладные расходы на изготовление</t>
  </si>
  <si>
    <t>制造间接费用</t>
  </si>
  <si>
    <t>Manuf. scrap</t>
  </si>
  <si>
    <t>Fert. Ausschuss</t>
  </si>
  <si>
    <t>Produktons kassation</t>
  </si>
  <si>
    <t>Déchets de production</t>
  </si>
  <si>
    <t>Desperdicios de fabricación</t>
  </si>
  <si>
    <t>Отходы при изготовлении включены</t>
  </si>
  <si>
    <t>制造（过程）废料</t>
  </si>
  <si>
    <t>Tools and devices allocated</t>
  </si>
  <si>
    <t>Werkzeuge und Vorrichtungen umgelegt</t>
  </si>
  <si>
    <t>Allokerad verktygs och utrustningskostnad</t>
  </si>
  <si>
    <t>Outillage et équipements alloués</t>
  </si>
  <si>
    <t>Utillajes y herramientas asignados</t>
  </si>
  <si>
    <t>Затраты на оснастку распределены</t>
  </si>
  <si>
    <t>模具和设备分摊</t>
  </si>
  <si>
    <t>Int. Work in prog.</t>
  </si>
  <si>
    <t>Zinsen Umlaufb.</t>
  </si>
  <si>
    <t>Räntekostnader PIA</t>
  </si>
  <si>
    <t>Intérêts pour les en-cours</t>
  </si>
  <si>
    <t>Int. de trabajo en curso</t>
  </si>
  <si>
    <t>Проценты на незавершенное производство</t>
  </si>
  <si>
    <t>工序利息成本</t>
  </si>
  <si>
    <t>Manufacturing II + III</t>
  </si>
  <si>
    <t>Fertigungskosten II + III</t>
  </si>
  <si>
    <t>Tillverkning II + III</t>
  </si>
  <si>
    <t>Coûts de fabrication II + III</t>
  </si>
  <si>
    <t>Costes de fabricación II + III</t>
  </si>
  <si>
    <t>Производственные издержки II + III</t>
  </si>
  <si>
    <t>制造成本II + III</t>
  </si>
  <si>
    <t>Production</t>
  </si>
  <si>
    <t>Herstellkosten</t>
  </si>
  <si>
    <t>Produktionskostnader</t>
  </si>
  <si>
    <t>Coûts de revient</t>
  </si>
  <si>
    <t>Costes de producción</t>
  </si>
  <si>
    <t>Издержки производства</t>
  </si>
  <si>
    <t>生产成本</t>
  </si>
  <si>
    <t>Specific development costs allocated</t>
  </si>
  <si>
    <t>Spezifische Entwicklungskosten umgelegt</t>
  </si>
  <si>
    <t>Specifika utvecklings kostnader fördelade</t>
  </si>
  <si>
    <t>Coûts de développement spécifique alloués</t>
  </si>
  <si>
    <t>Costes específicos de desarrollo</t>
  </si>
  <si>
    <t>Особые затраты на разработку распределены</t>
  </si>
  <si>
    <t>特殊研发费用分摊</t>
  </si>
  <si>
    <t>Sales and general administration costs</t>
  </si>
  <si>
    <t>Verwaltungs- und Vertriebsgemeinkosten</t>
  </si>
  <si>
    <t>Försäljning och generella administrations kostnader</t>
  </si>
  <si>
    <t>Coûts des ventes et de l'administration générale</t>
  </si>
  <si>
    <t>Costes de ventas y administración</t>
  </si>
  <si>
    <t>Расходы на реализацию</t>
  </si>
  <si>
    <t>销售和管理费用</t>
  </si>
  <si>
    <t>Research and development costs</t>
  </si>
  <si>
    <t>Forschungs- und Entwicklungskosten</t>
  </si>
  <si>
    <t>Forskning och utvecklings kostnader</t>
  </si>
  <si>
    <t>Coûts de Recherche et développement</t>
  </si>
  <si>
    <t>Costes de investigación y desarrollo</t>
  </si>
  <si>
    <t>Расходы на НИОКР</t>
  </si>
  <si>
    <t>研发成本</t>
  </si>
  <si>
    <t>Others</t>
  </si>
  <si>
    <t>Sonstige Kosten</t>
  </si>
  <si>
    <t>Andra kostnader</t>
  </si>
  <si>
    <t>Autres coûts</t>
  </si>
  <si>
    <t>Otros costes</t>
  </si>
  <si>
    <t>Прочие расходы</t>
  </si>
  <si>
    <t>其他费用</t>
  </si>
  <si>
    <t>Prime</t>
  </si>
  <si>
    <t>Selbstkosten</t>
  </si>
  <si>
    <t>Prime kostnader</t>
  </si>
  <si>
    <t xml:space="preserve">Coût de revient </t>
  </si>
  <si>
    <t>Costes primarios</t>
  </si>
  <si>
    <t>Основные издержки</t>
  </si>
  <si>
    <t>最初成本</t>
  </si>
  <si>
    <t>Profit</t>
  </si>
  <si>
    <t>Gewinn</t>
  </si>
  <si>
    <t>Vinst</t>
  </si>
  <si>
    <t>Marge</t>
  </si>
  <si>
    <t>Beneficio</t>
  </si>
  <si>
    <t>Прибыль</t>
  </si>
  <si>
    <t>利润</t>
  </si>
  <si>
    <t>Terms of payment</t>
  </si>
  <si>
    <t>Zahlungsbedingungen</t>
  </si>
  <si>
    <t>Ränta betalningstermin</t>
  </si>
  <si>
    <t>Intérêts sur termes de paiement</t>
  </si>
  <si>
    <t>Interés / condiciones de pago</t>
  </si>
  <si>
    <t>Условия платежей</t>
  </si>
  <si>
    <t>支付条件</t>
  </si>
  <si>
    <t>Transport, duties</t>
  </si>
  <si>
    <t>Transport, Zölle</t>
  </si>
  <si>
    <t>Transportkostnader, Tull</t>
  </si>
  <si>
    <t>Transport, taxes</t>
  </si>
  <si>
    <t>Transporte, aranceles</t>
  </si>
  <si>
    <t>Транспортные и таможенные расходы</t>
  </si>
  <si>
    <t>运输，税费</t>
  </si>
  <si>
    <t>Carbon tax</t>
  </si>
  <si>
    <t>CO2-Steuer</t>
  </si>
  <si>
    <t>CO2-skatt</t>
  </si>
  <si>
    <t>Taxe carbone</t>
  </si>
  <si>
    <t>Impuesto al carbono</t>
  </si>
  <si>
    <t>碳税</t>
  </si>
  <si>
    <t>Net sales price / Carbon footprint</t>
  </si>
  <si>
    <t>Nettoverkaufspreis / CO2-Fußabdruck</t>
  </si>
  <si>
    <t>Nettoförsäljningspris / CO2 fotavtryck</t>
  </si>
  <si>
    <t>Prix de vente net / Empreinte carbone</t>
  </si>
  <si>
    <t>Precio de venta neto / Huella por emisiones de carbono</t>
  </si>
  <si>
    <t>Чистая продажная цена / Углеродный след</t>
  </si>
  <si>
    <t>净售价 / 碳足迹</t>
  </si>
  <si>
    <t>Tools and devices</t>
  </si>
  <si>
    <t>Werkzeugkosten</t>
  </si>
  <si>
    <t>Verktyg och Utrustningar</t>
  </si>
  <si>
    <t>Utillajes y herramientas</t>
  </si>
  <si>
    <t>Затраты на инструмент</t>
  </si>
  <si>
    <t>Specific development costs</t>
  </si>
  <si>
    <t>spezifische Entwicklungskosten</t>
  </si>
  <si>
    <t>Specifika utvecklingskostnader</t>
  </si>
  <si>
    <t>Coûts de développement spécifique</t>
  </si>
  <si>
    <t xml:space="preserve">Особые затраты на разработку </t>
  </si>
  <si>
    <t>特殊研发成本</t>
  </si>
  <si>
    <t>Manufacturing costs</t>
  </si>
  <si>
    <t>Fertigungskosten</t>
  </si>
  <si>
    <t>Tillverkningskostnader</t>
  </si>
  <si>
    <t>Coûts de fabrication</t>
  </si>
  <si>
    <t>Coste proceso de fabricación</t>
  </si>
  <si>
    <t>Стоимость изготовления</t>
  </si>
  <si>
    <t>制造加工成本</t>
  </si>
  <si>
    <t>Production costs</t>
  </si>
  <si>
    <t xml:space="preserve">Coûts de production  </t>
  </si>
  <si>
    <t>Coste de producción</t>
  </si>
  <si>
    <t>Стоимость производства</t>
  </si>
  <si>
    <t>产品 成本</t>
  </si>
  <si>
    <t>fill in --&gt;</t>
  </si>
  <si>
    <t>ausfüllen --&gt;</t>
  </si>
  <si>
    <t>Fyll i --&gt;</t>
  </si>
  <si>
    <t>remplir ici --&gt;</t>
  </si>
  <si>
    <t>Rellenar --&gt;</t>
  </si>
  <si>
    <t>заполнить --&gt;</t>
  </si>
  <si>
    <t>填入</t>
  </si>
  <si>
    <t>&lt;-- fill in</t>
  </si>
  <si>
    <t>&lt;-- ausfüllen</t>
  </si>
  <si>
    <t>&lt;-- Fyll i</t>
  </si>
  <si>
    <t>&lt;-- remplir ici</t>
  </si>
  <si>
    <t>&lt;-- Rellenar</t>
  </si>
  <si>
    <t>&lt;-- заполнить</t>
  </si>
  <si>
    <t>/unit</t>
  </si>
  <si>
    <t>/enhet</t>
  </si>
  <si>
    <t xml:space="preserve">/ unité  </t>
  </si>
  <si>
    <t>/unidad</t>
  </si>
  <si>
    <t>/ единица измерения</t>
  </si>
  <si>
    <t>/单位</t>
  </si>
  <si>
    <t>unit</t>
  </si>
  <si>
    <t>enhet</t>
  </si>
  <si>
    <t>Unité</t>
  </si>
  <si>
    <t>unidad</t>
  </si>
  <si>
    <t>единица измерения</t>
  </si>
  <si>
    <t>单位</t>
  </si>
  <si>
    <t>units</t>
  </si>
  <si>
    <t>enheter</t>
  </si>
  <si>
    <t>Unités</t>
  </si>
  <si>
    <t>unidades</t>
  </si>
  <si>
    <t>единицы измерения</t>
  </si>
  <si>
    <t>单元</t>
  </si>
  <si>
    <t>/quot. Unit</t>
  </si>
  <si>
    <t>/Unité de chiffrage</t>
  </si>
  <si>
    <t>/unidad cotizada</t>
  </si>
  <si>
    <t>расчетные единицы измерения</t>
  </si>
  <si>
    <t>Explanation:</t>
  </si>
  <si>
    <t>Erklärung:</t>
  </si>
  <si>
    <t>Förklaring:</t>
  </si>
  <si>
    <t>Explication</t>
  </si>
  <si>
    <t>Explicación</t>
  </si>
  <si>
    <t>Пояснения</t>
  </si>
  <si>
    <t>解释：</t>
  </si>
  <si>
    <t>Total costs</t>
  </si>
  <si>
    <t>Totalkostnad</t>
  </si>
  <si>
    <t>Coûts totaux</t>
  </si>
  <si>
    <t>Coste Total</t>
  </si>
  <si>
    <t>Общие затраты</t>
  </si>
  <si>
    <t>总的成本</t>
  </si>
  <si>
    <t>Raw material</t>
  </si>
  <si>
    <t>Rohmaterial</t>
  </si>
  <si>
    <t>Purchased p.</t>
  </si>
  <si>
    <t>Pièce achetée</t>
  </si>
  <si>
    <t>Parte/pieza comprada</t>
  </si>
  <si>
    <t>Покупная деталь</t>
  </si>
  <si>
    <t>采购</t>
  </si>
  <si>
    <t>Fabricación</t>
  </si>
  <si>
    <t>制造</t>
  </si>
  <si>
    <t>Quotation price (1)</t>
  </si>
  <si>
    <t>Angebotspreis (1)</t>
  </si>
  <si>
    <t>Offert pris (1)</t>
  </si>
  <si>
    <t>Prix calculé (1)</t>
  </si>
  <si>
    <t>Precio ofertado (1)</t>
  </si>
  <si>
    <t>Цена предложения (1)</t>
  </si>
  <si>
    <t>报价（1）</t>
  </si>
  <si>
    <t>One-time and instalment payments</t>
  </si>
  <si>
    <t>Einmal- und Abschlagszahlungen</t>
  </si>
  <si>
    <t>Engångsbetalningar</t>
  </si>
  <si>
    <t>Paiement ponctules et echelonnés</t>
  </si>
  <si>
    <t>Pagos únicos y cuotas</t>
  </si>
  <si>
    <t>Единовременные затраты</t>
  </si>
  <si>
    <t>一次性和分期付款</t>
  </si>
  <si>
    <t>rest allocated in 16</t>
  </si>
  <si>
    <t>Rest umgelegt in 16</t>
  </si>
  <si>
    <t>Allokerat  i 16</t>
  </si>
  <si>
    <t>Reste alloué en 16</t>
  </si>
  <si>
    <t>Resto asignado en 16</t>
  </si>
  <si>
    <t>остальное распределено в 16</t>
  </si>
  <si>
    <t>剩余分摊（16项）</t>
  </si>
  <si>
    <t>Total</t>
  </si>
  <si>
    <t>Gesamt</t>
  </si>
  <si>
    <t>Totalt</t>
  </si>
  <si>
    <t>ИТОГО</t>
  </si>
  <si>
    <t>总计</t>
  </si>
  <si>
    <t>rest allocated in 22</t>
  </si>
  <si>
    <t>Rest umgelegt in 22</t>
  </si>
  <si>
    <t>Allokerat  i 22</t>
  </si>
  <si>
    <t>Reste alloué en 22</t>
  </si>
  <si>
    <t>Resto asignado en 22</t>
  </si>
  <si>
    <t>остальное распределено в 22</t>
  </si>
  <si>
    <t>剩余分摊（22项）</t>
  </si>
  <si>
    <t>Siemens Standard</t>
  </si>
  <si>
    <t>M01</t>
  </si>
  <si>
    <t>General inputs</t>
  </si>
  <si>
    <t>allgemeine Eingaben</t>
  </si>
  <si>
    <t>allmänna ingångar</t>
  </si>
  <si>
    <t>entrées générales</t>
  </si>
  <si>
    <t>entradas generales</t>
  </si>
  <si>
    <t>общие входы</t>
  </si>
  <si>
    <t>一般投入</t>
  </si>
  <si>
    <t>M02</t>
  </si>
  <si>
    <t>Cost inputs</t>
  </si>
  <si>
    <t>Kosten Eingaben</t>
  </si>
  <si>
    <t>kostnadsinsatser</t>
  </si>
  <si>
    <t>coût des intrants</t>
  </si>
  <si>
    <t>costos de insumos</t>
  </si>
  <si>
    <t>затраты</t>
  </si>
  <si>
    <t>成本投入</t>
  </si>
  <si>
    <t>M03</t>
  </si>
  <si>
    <t>Carbon footprint inputs</t>
  </si>
  <si>
    <t>CO2 Eingaben</t>
  </si>
  <si>
    <t>CO2-inmatningar</t>
  </si>
  <si>
    <t>Entrées de CO2</t>
  </si>
  <si>
    <t>Entradas de CO2</t>
  </si>
  <si>
    <t>Входы CO2</t>
  </si>
  <si>
    <t>二氧化碳输入</t>
  </si>
  <si>
    <t>No.</t>
  </si>
  <si>
    <t>Nr.</t>
  </si>
  <si>
    <t>Löp nr.</t>
  </si>
  <si>
    <t xml:space="preserve">Número  </t>
  </si>
  <si>
    <t>№</t>
  </si>
  <si>
    <t>序号</t>
  </si>
  <si>
    <t>Manufacturing step no.</t>
  </si>
  <si>
    <t>Fertigungsschritt Nr.</t>
  </si>
  <si>
    <t>Tillverkningssteg Löp nr.</t>
  </si>
  <si>
    <t>Numéro de l'étape de farbication</t>
  </si>
  <si>
    <t>Número de procesos de fabricación</t>
  </si>
  <si>
    <t xml:space="preserve">Номер этапа </t>
  </si>
  <si>
    <t>制造工序号</t>
  </si>
  <si>
    <t>Item number</t>
  </si>
  <si>
    <t>Artikelnummer</t>
  </si>
  <si>
    <t>产品编号</t>
  </si>
  <si>
    <t>Part designation</t>
  </si>
  <si>
    <t>Bauteil Bezeichnung</t>
  </si>
  <si>
    <t>Delbeteckning</t>
  </si>
  <si>
    <t>Désignation pièce</t>
  </si>
  <si>
    <t>Descripción</t>
  </si>
  <si>
    <t>Наименование материала</t>
  </si>
  <si>
    <t>零件命名</t>
  </si>
  <si>
    <t>Designation raw material / purchased part</t>
  </si>
  <si>
    <t>Bezeichnung Rohmaterial / Bauteil</t>
  </si>
  <si>
    <t>Råmaterialdefinition / Delbeteckning</t>
  </si>
  <si>
    <t>Désignation matière / pièce</t>
  </si>
  <si>
    <t xml:space="preserve">Descripción materia prima / parte(pieza) </t>
  </si>
  <si>
    <t>Наименование сырья/ покупной детали</t>
  </si>
  <si>
    <t>指定原材料</t>
  </si>
  <si>
    <t>Material class</t>
  </si>
  <si>
    <t>Materialklasse</t>
  </si>
  <si>
    <t>Material typ</t>
  </si>
  <si>
    <t>Classe matière</t>
  </si>
  <si>
    <t>Tipo de material</t>
  </si>
  <si>
    <t>Класс материала</t>
  </si>
  <si>
    <t>材料类别</t>
  </si>
  <si>
    <t>Proveedor</t>
  </si>
  <si>
    <t>Unit</t>
  </si>
  <si>
    <t>Einheit</t>
  </si>
  <si>
    <t>Enhet</t>
  </si>
  <si>
    <t>Unidad</t>
  </si>
  <si>
    <t>Deployed weight/ quantity</t>
  </si>
  <si>
    <t>Einsatzgewicht/-einheit</t>
  </si>
  <si>
    <t>Bruttovikt per artikel</t>
  </si>
  <si>
    <t>Poids brut quantité</t>
  </si>
  <si>
    <t>Peso bruto/cantidad</t>
  </si>
  <si>
    <t>Общая масса</t>
  </si>
  <si>
    <t>总交付重量/数量</t>
  </si>
  <si>
    <t>Net weight of finished part (only for info.)</t>
  </si>
  <si>
    <t>Nettogewicht des fertigen Bauteils (nur Info.)</t>
  </si>
  <si>
    <t>Nettovikt färdig artikel (Endast för information)</t>
  </si>
  <si>
    <t>Poids net de la pièce finie</t>
  </si>
  <si>
    <t>Peso neto parte/pieza acabada</t>
  </si>
  <si>
    <t>Масса готового изделия</t>
  </si>
  <si>
    <t>成品总净重(仅供参考)</t>
  </si>
  <si>
    <t>Usage</t>
  </si>
  <si>
    <t>Verwendungsmenge</t>
  </si>
  <si>
    <t>Antal</t>
  </si>
  <si>
    <t>Utilisation</t>
  </si>
  <si>
    <t>Uso</t>
  </si>
  <si>
    <t>Использование</t>
  </si>
  <si>
    <t>废料的费用</t>
  </si>
  <si>
    <t>Purchasing currency</t>
  </si>
  <si>
    <t>Einkäufswährung</t>
  </si>
  <si>
    <t>Inköps- 
valuta</t>
  </si>
  <si>
    <t>Devise d'achat</t>
  </si>
  <si>
    <t>Divisa</t>
  </si>
  <si>
    <t>采购货币</t>
  </si>
  <si>
    <t>Price in purchasing currency per unit</t>
  </si>
  <si>
    <t>Preis in Einkäufswährung</t>
  </si>
  <si>
    <t>Kostnad i inköps-
valuta</t>
  </si>
  <si>
    <t>Prix unitaire en devise d'achat</t>
  </si>
  <si>
    <t>Divisa por unidad</t>
  </si>
  <si>
    <t>Цена в валюте за единицу</t>
  </si>
  <si>
    <t>采购货币单位价格</t>
  </si>
  <si>
    <t>Rate of exchange (AW/BW)</t>
  </si>
  <si>
    <t>Wechselkurs</t>
  </si>
  <si>
    <t>Växelkurs</t>
  </si>
  <si>
    <t>Taux de change</t>
  </si>
  <si>
    <t>Tipo de cambio</t>
  </si>
  <si>
    <t>Обменный курс</t>
  </si>
  <si>
    <t>汇率（AW/BW)</t>
  </si>
  <si>
    <t>Price in quotation currency per unit</t>
  </si>
  <si>
    <t>Preis in Angebotswährung pro Einheit</t>
  </si>
  <si>
    <t>Kostnad i offertvaluta</t>
  </si>
  <si>
    <t>Prix unitaire en devise de chiffrage</t>
  </si>
  <si>
    <t>Precio en moneda de cotización por unidad</t>
  </si>
  <si>
    <t>报价货币单位价格</t>
  </si>
  <si>
    <t>Material costs</t>
  </si>
  <si>
    <t>Material kostnad</t>
  </si>
  <si>
    <t>Costes del material</t>
  </si>
  <si>
    <t>材料成本</t>
  </si>
  <si>
    <t>Scrap (yield) only raw materials</t>
  </si>
  <si>
    <t>Schrott (Ertrag) nur Rohmaterialien</t>
  </si>
  <si>
    <t>Återvunnet kassationsmateriat, endast råmaterial</t>
  </si>
  <si>
    <t>Déchet sur matière première uniquement</t>
  </si>
  <si>
    <t>deshecho, chatarra sólo en materia prima</t>
  </si>
  <si>
    <t>Брак</t>
  </si>
  <si>
    <t>总共报废的原材料</t>
  </si>
  <si>
    <t>Material overhead costs
(Base is M15)</t>
  </si>
  <si>
    <t>Materialgemeinkosten
(Basis ist M15)</t>
  </si>
  <si>
    <t>Material OH kostnader
(Bas materialkostnad (DMK), M15)</t>
  </si>
  <si>
    <t>Frais sur matière première
(Base en M15)</t>
  </si>
  <si>
    <t>Gastos generales de material
(OH) (Basado en M15)</t>
  </si>
  <si>
    <t>材料管理成本</t>
  </si>
  <si>
    <t>Material scrap costs</t>
  </si>
  <si>
    <t>Materialausschusskosten</t>
  </si>
  <si>
    <t>Kassations kostnader material</t>
  </si>
  <si>
    <t>Coûts des déchets sur matière première</t>
  </si>
  <si>
    <t xml:space="preserve">Costes de desecho/chatarra </t>
  </si>
  <si>
    <t>Стоимость отходов</t>
  </si>
  <si>
    <t>以M15为基准</t>
  </si>
  <si>
    <t>Total material costs</t>
  </si>
  <si>
    <t>Gesamte Materialkosten</t>
  </si>
  <si>
    <t>Total material kostnad</t>
  </si>
  <si>
    <t>Coût total matière première</t>
  </si>
  <si>
    <t>Coste total de material</t>
  </si>
  <si>
    <t>Общие затраты на материалы</t>
  </si>
  <si>
    <t>总计材料成本</t>
  </si>
  <si>
    <t xml:space="preserve"> CO2-Fußabdruck</t>
  </si>
  <si>
    <t>CO2 fotavtryck</t>
  </si>
  <si>
    <t>Empreinte carbone</t>
  </si>
  <si>
    <t xml:space="preserve"> Huella por emisiones de carbono</t>
  </si>
  <si>
    <t>Углеродный след</t>
  </si>
  <si>
    <t>Direct material carbon footprint</t>
  </si>
  <si>
    <t>Direktes Material CO2</t>
  </si>
  <si>
    <t>Direkt material CO2</t>
  </si>
  <si>
    <t>Empreinte carbone de matière directe</t>
  </si>
  <si>
    <t>Huella por emisiones de carbono originadas por materiales directos</t>
  </si>
  <si>
    <t>Прямые материалы CO2</t>
  </si>
  <si>
    <t>直接材料碳足迹</t>
  </si>
  <si>
    <t>Material scrap carbon footprint</t>
  </si>
  <si>
    <t>Materialausschuss CO2</t>
  </si>
  <si>
    <t>Kassationskostnad CO2</t>
  </si>
  <si>
    <t>Déchets sur achat CO2</t>
  </si>
  <si>
    <t>Deshecho, chatarra CO2</t>
  </si>
  <si>
    <t>Отходы материалов включены CO2</t>
  </si>
  <si>
    <t>报废材料 CO2</t>
  </si>
  <si>
    <t>Total material carbon footprint</t>
  </si>
  <si>
    <t>Ges. Material CO2</t>
  </si>
  <si>
    <t>Total material CO2</t>
  </si>
  <si>
    <t>Total empreinte carbone de matière</t>
  </si>
  <si>
    <t>Total huella por emisiones de carbono originadas por materiales</t>
  </si>
  <si>
    <t>Общие материалы CO2</t>
  </si>
  <si>
    <t>总物质 CO2</t>
  </si>
  <si>
    <t>M24</t>
  </si>
  <si>
    <t>Comments</t>
  </si>
  <si>
    <t>Kommentar</t>
  </si>
  <si>
    <t>建议</t>
  </si>
  <si>
    <t>M25</t>
  </si>
  <si>
    <t>Sums</t>
  </si>
  <si>
    <t>Summen</t>
  </si>
  <si>
    <t>Somme</t>
  </si>
  <si>
    <t>Suma</t>
  </si>
  <si>
    <t>Суммы</t>
  </si>
  <si>
    <t>共计</t>
  </si>
  <si>
    <t>M26</t>
  </si>
  <si>
    <t>Ges. MEK</t>
  </si>
  <si>
    <t>DM</t>
  </si>
  <si>
    <t>Total des coûts matière directs</t>
  </si>
  <si>
    <t>Общие прямые затраты на материалы</t>
  </si>
  <si>
    <t>总计直接材料成本</t>
  </si>
  <si>
    <t>M27</t>
  </si>
  <si>
    <t>Raw Materials</t>
  </si>
  <si>
    <t>Materias primas</t>
  </si>
  <si>
    <t>M28</t>
  </si>
  <si>
    <t>Purchased Parts</t>
  </si>
  <si>
    <t>Einkaufsteile</t>
  </si>
  <si>
    <t>采购部件</t>
  </si>
  <si>
    <t>M29</t>
  </si>
  <si>
    <t>Mat. OH</t>
  </si>
  <si>
    <t>MGK</t>
  </si>
  <si>
    <t>Frais sur matière première</t>
  </si>
  <si>
    <t>Накладные расходы</t>
  </si>
  <si>
    <t>M30</t>
  </si>
  <si>
    <t>Scrap</t>
  </si>
  <si>
    <t>Ausschuss</t>
  </si>
  <si>
    <t>Kassation</t>
  </si>
  <si>
    <t>Déchets</t>
  </si>
  <si>
    <t xml:space="preserve">Desecho/chatarra </t>
  </si>
  <si>
    <t>废料</t>
  </si>
  <si>
    <t>M31</t>
  </si>
  <si>
    <t>Total MC</t>
  </si>
  <si>
    <t>Ges. MK.</t>
  </si>
  <si>
    <t>TOTAL matière première</t>
  </si>
  <si>
    <t>Total del  MC</t>
  </si>
  <si>
    <t>Итоговая стоимость материала</t>
  </si>
  <si>
    <t>M32</t>
  </si>
  <si>
    <t>P01</t>
  </si>
  <si>
    <t>P02</t>
  </si>
  <si>
    <t>P03</t>
  </si>
  <si>
    <t>Designation Manufacturing step</t>
  </si>
  <si>
    <t>Bezeichnung Fertigungsschritt</t>
  </si>
  <si>
    <t>Beteckning tillverkningsoperation</t>
  </si>
  <si>
    <t>Description de l'étape de fabrication</t>
  </si>
  <si>
    <t>Designación de procesos de fabricación</t>
  </si>
  <si>
    <t>Наименование техпроцесса</t>
  </si>
  <si>
    <t>制造工序名称</t>
  </si>
  <si>
    <t>Designation facility / machine / type</t>
  </si>
  <si>
    <t>Bezeichnung Anlage / Maschine / Typ</t>
  </si>
  <si>
    <t>Beteckning anläggning / maskin / typ</t>
  </si>
  <si>
    <t>Description atelier / machine / type</t>
  </si>
  <si>
    <t>Designación de planta/maquinaria/tipo</t>
  </si>
  <si>
    <t>Наименование станка /типа /оборудования</t>
  </si>
  <si>
    <t>设备/机器/类型名称</t>
  </si>
  <si>
    <t>Investment facility / machine / type</t>
  </si>
  <si>
    <t>Investition Anlage / Maschine / Typ</t>
  </si>
  <si>
    <t>Investering anläggning / maskin / typ</t>
  </si>
  <si>
    <t>Investissement atelier / machine / type</t>
  </si>
  <si>
    <t>Inversión de planta/maquinaria/tipo</t>
  </si>
  <si>
    <t>Инвестиции в оборудование</t>
  </si>
  <si>
    <t>投资设备/机器/类型</t>
  </si>
  <si>
    <t>Utilization ratio (only for info.)</t>
  </si>
  <si>
    <t>Nutzungsgrad</t>
  </si>
  <si>
    <t>Utnyttjandegrad ( endast för information)</t>
  </si>
  <si>
    <t>Taux d'utilisation (pour information)</t>
  </si>
  <si>
    <t>Ratio de utilización (sólo para info.)</t>
  </si>
  <si>
    <t>Коэффициент загрузки</t>
  </si>
  <si>
    <t>利用率（仅参考）</t>
  </si>
  <si>
    <t>Cycle time</t>
  </si>
  <si>
    <t>Zykluszeit</t>
  </si>
  <si>
    <t>Cykel tid</t>
  </si>
  <si>
    <t>Temps de cycle</t>
  </si>
  <si>
    <t>Tiempo de ciclo</t>
  </si>
  <si>
    <t>Время операции</t>
  </si>
  <si>
    <t>周期</t>
  </si>
  <si>
    <t>s</t>
  </si>
  <si>
    <t>sekunder</t>
  </si>
  <si>
    <t>秒</t>
  </si>
  <si>
    <t>Number of parts per cycle</t>
  </si>
  <si>
    <t>Anzahl Teile pro Zyklus</t>
  </si>
  <si>
    <t>Antal artiklar per produktionscykel</t>
  </si>
  <si>
    <t>Nombre de pièces par cycle</t>
  </si>
  <si>
    <t>Número de partes/piezas por ciclo</t>
  </si>
  <si>
    <t>Кол-во изделий за один цикл</t>
  </si>
  <si>
    <t>周期生产零件数量</t>
  </si>
  <si>
    <t>Machine hourly rate</t>
  </si>
  <si>
    <t>Maskin-
timkostnad</t>
  </si>
  <si>
    <t>Taux machine / heure</t>
  </si>
  <si>
    <t>Tarifa horaria Maquina</t>
  </si>
  <si>
    <t>机器小时率</t>
  </si>
  <si>
    <t>P8.1</t>
  </si>
  <si>
    <t>/hour</t>
  </si>
  <si>
    <t>/Std.</t>
  </si>
  <si>
    <t>/timma</t>
  </si>
  <si>
    <t xml:space="preserve"> /heure</t>
  </si>
  <si>
    <t>/hora</t>
  </si>
  <si>
    <t>/ час</t>
  </si>
  <si>
    <t>/小时</t>
  </si>
  <si>
    <t>Machinenkosten</t>
  </si>
  <si>
    <t xml:space="preserve">Maskinkostnader </t>
  </si>
  <si>
    <t>Coûts machine</t>
  </si>
  <si>
    <t>Costes de maquinaria</t>
  </si>
  <si>
    <t>Стоимость обработки</t>
  </si>
  <si>
    <t>机器成本</t>
  </si>
  <si>
    <t>Number of direct workers</t>
  </si>
  <si>
    <t>Anzahl direkter Mitarbeiter</t>
  </si>
  <si>
    <t>Antal direkt arbetande personer</t>
  </si>
  <si>
    <t>Nombre d'opérateurs directs</t>
  </si>
  <si>
    <t>Número de trabajadores directos</t>
  </si>
  <si>
    <t>Число рабочих</t>
  </si>
  <si>
    <t>直接人工数</t>
  </si>
  <si>
    <t>Total labor hourly rate</t>
  </si>
  <si>
    <t>Gesamter Personalstundensatz</t>
  </si>
  <si>
    <t>Total personal kostnad</t>
  </si>
  <si>
    <t>Coût total de main d'œuvre / heure</t>
  </si>
  <si>
    <t>Tarifa total de mano de obra/hora</t>
  </si>
  <si>
    <t>Общие затраты на человеческий труд</t>
  </si>
  <si>
    <t>总计人工费率</t>
  </si>
  <si>
    <t>Direkte Personalkosten</t>
  </si>
  <si>
    <t>Direkt personal kostnad</t>
  </si>
  <si>
    <t>Coûts de main d'œuvre directe</t>
  </si>
  <si>
    <t>Costes de mano de obra</t>
  </si>
  <si>
    <t>Прямые затраты на человеческий труд</t>
  </si>
  <si>
    <t>直接人工成本</t>
  </si>
  <si>
    <t>Setup costs / Process costs per unit</t>
  </si>
  <si>
    <t>Rüstkosten / Prozessfertigungsschritt pro Einheit</t>
  </si>
  <si>
    <t>Omställningskostnad / Processkostnader per artikel</t>
  </si>
  <si>
    <t>Coûts de lancement / Coûts de process de fabrication par unité</t>
  </si>
  <si>
    <t>Costes de montaje / Costes de proceso por unidad</t>
  </si>
  <si>
    <t>Затраты на настройку / Затраты на обработку за единицу</t>
  </si>
  <si>
    <t xml:space="preserve">
设置成本 / 每单位的处理成本</t>
  </si>
  <si>
    <t>Manufacturing lot size (only for info.)</t>
  </si>
  <si>
    <t>Fertigungslosgröße (nur zur info.)</t>
  </si>
  <si>
    <t>Tillverknings batch storlek
( endast för information)</t>
  </si>
  <si>
    <t>Taille de lot de fabrication (pour info)</t>
  </si>
  <si>
    <t>Cantidad de unidades por lote (sólo para info.)</t>
  </si>
  <si>
    <t>制造批次尺寸（仅参考）</t>
  </si>
  <si>
    <t>Werkzeug Instandhaltung</t>
  </si>
  <si>
    <t>Underhålls- kostnader  verktyg</t>
  </si>
  <si>
    <t>Maintenance</t>
  </si>
  <si>
    <t>Mantenimiento de Utillaje</t>
  </si>
  <si>
    <t>Обслуживание интрумента / оснастки</t>
  </si>
  <si>
    <t>模具维护</t>
  </si>
  <si>
    <t>Direct manufacturing costs</t>
  </si>
  <si>
    <t>Direkte Fertigungskosten</t>
  </si>
  <si>
    <t>Direkt tillverknings- kostnad</t>
  </si>
  <si>
    <t>Coûts directs de fabrication</t>
  </si>
  <si>
    <t>Costes directos de fabricación</t>
  </si>
  <si>
    <t>Прямые затраты на обработку</t>
  </si>
  <si>
    <t>直接制造加工成本</t>
  </si>
  <si>
    <t>Manufacturing overhead costs
(Base is P16)</t>
  </si>
  <si>
    <t>Fertigungsgemeinkosten
(Basis ist P16)</t>
  </si>
  <si>
    <t>Tillverknings OH
(Bas från P16)</t>
  </si>
  <si>
    <t>frais de fabrication
(Base de calcul en P16)</t>
  </si>
  <si>
    <t>Gastos generales de fabricación (OH)
(Basado en P16)</t>
  </si>
  <si>
    <t>Накладные расходы на изготолвание</t>
  </si>
  <si>
    <t>间接制造成本</t>
  </si>
  <si>
    <t>Manufacturing scrap</t>
  </si>
  <si>
    <t>Fertigungsausschuss</t>
  </si>
  <si>
    <t>Tillverknings kassation</t>
  </si>
  <si>
    <t>Déchets de fabrication</t>
  </si>
  <si>
    <t>Отходы при изготовлении</t>
  </si>
  <si>
    <t>以P16为基准</t>
  </si>
  <si>
    <t>Costes de fabricación</t>
  </si>
  <si>
    <t>Затраты на изготовление</t>
  </si>
  <si>
    <t>制造废料</t>
  </si>
  <si>
    <t>制造成本</t>
  </si>
  <si>
    <t>Total Manufacturing costs</t>
  </si>
  <si>
    <t>Gesamte Fertigungskosten</t>
  </si>
  <si>
    <t>Total Tillverknings kostnad</t>
  </si>
  <si>
    <t>Coût total de fabrication</t>
  </si>
  <si>
    <t>Coste total de fabricación</t>
  </si>
  <si>
    <t>Общие затраты на изготовление</t>
  </si>
  <si>
    <t>使用</t>
  </si>
  <si>
    <t>P22</t>
  </si>
  <si>
    <t>总制造成本</t>
  </si>
  <si>
    <t>P23</t>
  </si>
  <si>
    <t xml:space="preserve">Comentarios </t>
  </si>
  <si>
    <t>总制造费用</t>
  </si>
  <si>
    <t>P24</t>
  </si>
  <si>
    <t>Suma total</t>
  </si>
  <si>
    <t>P25</t>
  </si>
  <si>
    <t>Labor</t>
  </si>
  <si>
    <t>Lohn</t>
  </si>
  <si>
    <t>Personal</t>
  </si>
  <si>
    <t>Main d'œuvre</t>
  </si>
  <si>
    <t>Труд</t>
  </si>
  <si>
    <t>P26</t>
  </si>
  <si>
    <t>Setup</t>
  </si>
  <si>
    <t>Rüsten</t>
  </si>
  <si>
    <t>Omställningskostnad</t>
  </si>
  <si>
    <t>Lancement</t>
  </si>
  <si>
    <t>Montaje</t>
  </si>
  <si>
    <t>Наладка</t>
  </si>
  <si>
    <t>人力</t>
  </si>
  <si>
    <t>P27</t>
  </si>
  <si>
    <t>Tool maint.</t>
  </si>
  <si>
    <t>Werkz. Inst.</t>
  </si>
  <si>
    <t>Verktygsunderhåll</t>
  </si>
  <si>
    <t>Maintenance outillage</t>
  </si>
  <si>
    <t>Обслуж.инструмента</t>
  </si>
  <si>
    <t>设置</t>
  </si>
  <si>
    <t>P28</t>
  </si>
  <si>
    <t>+ Machine costs and Setup costs</t>
  </si>
  <si>
    <t>+ Maschinenkosten und Rüstkosten</t>
  </si>
  <si>
    <t>+ maskinkostnader &amp; omställningskostnader</t>
  </si>
  <si>
    <t xml:space="preserve"> + Coûts machine et Coûts de lancement</t>
  </si>
  <si>
    <t>+ Costes de maquinaria y montaje</t>
  </si>
  <si>
    <t xml:space="preserve"> + Стоимость обработки и наладки</t>
  </si>
  <si>
    <t>P29</t>
  </si>
  <si>
    <t>Manufacturing Costs / Machine Costs</t>
  </si>
  <si>
    <t>Fertigungskosten/Maschinenkosten</t>
  </si>
  <si>
    <t>Coût de fabrication / coûts machine</t>
  </si>
  <si>
    <t>Costes de fabricación/Costes de maquinaria</t>
  </si>
  <si>
    <t>机器成本和设置成本</t>
  </si>
  <si>
    <t>P30</t>
  </si>
  <si>
    <t>Man. OH</t>
  </si>
  <si>
    <t>Fert. GK</t>
  </si>
  <si>
    <t>Tillverknings
OH</t>
  </si>
  <si>
    <t>Frais généraux de fabrication</t>
  </si>
  <si>
    <t>Накладные расходы на изг.</t>
  </si>
  <si>
    <t>制造成本/机器成本</t>
  </si>
  <si>
    <t>P31</t>
  </si>
  <si>
    <t>Desperdicios (scrap)</t>
  </si>
  <si>
    <t>P32</t>
  </si>
  <si>
    <t>Machine carbon footprint rate</t>
  </si>
  <si>
    <t>Maschinen-CO2-Fußabdruckrate</t>
  </si>
  <si>
    <t>Maskinens CO2-hastighet</t>
  </si>
  <si>
    <t>Empreinte carbone de machine</t>
  </si>
  <si>
    <t>Tasa de la huella por emisiones de carbono originadas por máquinas</t>
  </si>
  <si>
    <t>Показатель углеродного следа станка</t>
  </si>
  <si>
    <t>设备碳足迹比率</t>
  </si>
  <si>
    <t>Maschinen-CO2-Fußabdruck</t>
  </si>
  <si>
    <t>Maskin CO2</t>
  </si>
  <si>
    <t>Huella por emisiones de carbono originadas por máquina</t>
  </si>
  <si>
    <t>Углеродный след станка</t>
  </si>
  <si>
    <t>设备碳足迹</t>
  </si>
  <si>
    <t>CO2 pro Einheit</t>
  </si>
  <si>
    <t>CO2  per enhet</t>
  </si>
  <si>
    <t>CO2 par unité</t>
  </si>
  <si>
    <t>CO2 por unidad</t>
  </si>
  <si>
    <t>CO2 за единицу</t>
  </si>
  <si>
    <t>每单位二氧化碳排放量</t>
  </si>
  <si>
    <t>Manufacturing carbon footprint I</t>
  </si>
  <si>
    <t>Fertigungs-CO2-Fußabdruck I</t>
  </si>
  <si>
    <t>CO2-tillverkning I</t>
  </si>
  <si>
    <t>Empreinte carbone de fabrication I</t>
  </si>
  <si>
    <t>Huella I por emisiones de carbono originadas por fabricación</t>
  </si>
  <si>
    <t>Углеродный след для производства I</t>
  </si>
  <si>
    <t>制造碳足迹 I</t>
  </si>
  <si>
    <t>Manufacturing scrap carbon footprint</t>
  </si>
  <si>
    <t>Fertigungausschuss-CO2-Fußabdruck</t>
  </si>
  <si>
    <t>Tillverkning av skrot CO2</t>
  </si>
  <si>
    <t>Empreinte carbone de rebut de fabrication</t>
  </si>
  <si>
    <t>Huella por emisiones de carbono originadas por desechos de fabricación</t>
  </si>
  <si>
    <t>制造报废碳足迹</t>
  </si>
  <si>
    <t>Manufacturing carbon footprint II</t>
  </si>
  <si>
    <t>Fertigungs-CO2-Fußabdruck II</t>
  </si>
  <si>
    <t>CO2-tillverkning II</t>
  </si>
  <si>
    <t>Empreinte carbone de fabrication II</t>
  </si>
  <si>
    <t>Huella II por emisiones de carbono originadas por fabricación</t>
  </si>
  <si>
    <t>Углеродный след для производства II</t>
  </si>
  <si>
    <t>制造碳足迹 II</t>
  </si>
  <si>
    <t>Production carbon footprint</t>
  </si>
  <si>
    <t>CO2 Herstellung</t>
  </si>
  <si>
    <t>Produktion CO2</t>
  </si>
  <si>
    <t xml:space="preserve">CO2 de production  </t>
  </si>
  <si>
    <t>CO2 de producción</t>
  </si>
  <si>
    <t>CO2 производства</t>
  </si>
  <si>
    <t>生产二氧化碳</t>
  </si>
  <si>
    <t>P40</t>
  </si>
  <si>
    <t>Total PCF</t>
  </si>
  <si>
    <t>Ges. CO2 Herstellung</t>
  </si>
  <si>
    <t>Total Produktion CO2</t>
  </si>
  <si>
    <t xml:space="preserve">Total CO2 de production  </t>
  </si>
  <si>
    <t>Total CO2 de producción</t>
  </si>
  <si>
    <t>Общие CO2 производства</t>
  </si>
  <si>
    <t>二氧化碳总产量 </t>
  </si>
  <si>
    <t>I01</t>
  </si>
  <si>
    <t>I02</t>
  </si>
  <si>
    <t>I03</t>
  </si>
  <si>
    <t>I04</t>
  </si>
  <si>
    <t>Life time quantity:</t>
  </si>
  <si>
    <t>Livscykel volym</t>
  </si>
  <si>
    <t>Quantité totale de production</t>
  </si>
  <si>
    <t>Unidades en ciclo de vida</t>
  </si>
  <si>
    <t>Жизненный цикл</t>
  </si>
  <si>
    <t>生命周期数量</t>
  </si>
  <si>
    <t>Numéro de l'étape de production</t>
  </si>
  <si>
    <t>Номер этапа</t>
  </si>
  <si>
    <t>Designation Tool / Device</t>
  </si>
  <si>
    <t>Beskrivning Verktyg /  Utrustning</t>
  </si>
  <si>
    <t>Désignation outillage/ équipement</t>
  </si>
  <si>
    <t>Designación de utillaje y herramienta</t>
  </si>
  <si>
    <t>Наименование инструмента / оснастки</t>
  </si>
  <si>
    <t>模具/设备名称</t>
  </si>
  <si>
    <t>Service life in cycles</t>
  </si>
  <si>
    <t>Livslängd i cykler</t>
  </si>
  <si>
    <t>Durée de vie en nombre de cycles</t>
  </si>
  <si>
    <t>Vida útil en ciclos</t>
  </si>
  <si>
    <t>Кол-во циклов</t>
  </si>
  <si>
    <t>服务周期</t>
  </si>
  <si>
    <t>Divisa de compra</t>
  </si>
  <si>
    <t>Валюта приобретения</t>
  </si>
  <si>
    <t>Investment in purchasing currency</t>
  </si>
  <si>
    <t>Investering i Inköps- 
valuta</t>
  </si>
  <si>
    <t>Investissement en devise d'achat</t>
  </si>
  <si>
    <t>Inversión en moneda de compra</t>
  </si>
  <si>
    <t>Инвестиции в валюте</t>
  </si>
  <si>
    <t>投资（采购货币）</t>
  </si>
  <si>
    <t>Investment in quotation currency</t>
  </si>
  <si>
    <t>Investissement en devise de chiffrage</t>
  </si>
  <si>
    <t>Inversión en moneda de cotización</t>
  </si>
  <si>
    <t>Инвестиции  в валюте</t>
  </si>
  <si>
    <t>投资（报价货币）</t>
  </si>
  <si>
    <t>Number (lifetime)</t>
  </si>
  <si>
    <t>Antal ( Livscykel)</t>
  </si>
  <si>
    <t>Nombre sur la durée du projet</t>
  </si>
  <si>
    <t>Número total de unidades en la vida del producto</t>
  </si>
  <si>
    <t>Количество</t>
  </si>
  <si>
    <t>数量（生命周期）</t>
  </si>
  <si>
    <t>Total lifetime investment</t>
  </si>
  <si>
    <t>Total Livscykel Investering</t>
  </si>
  <si>
    <t>Investissement total sur la durée du projet</t>
  </si>
  <si>
    <t>Total de la inversión (vida del producto)</t>
  </si>
  <si>
    <t>Общие инвестиции</t>
  </si>
  <si>
    <t>生命周期总投资</t>
  </si>
  <si>
    <t>One-time payments</t>
  </si>
  <si>
    <t>Engångs betalning</t>
  </si>
  <si>
    <t>Paiements directs</t>
  </si>
  <si>
    <t>Pago único</t>
  </si>
  <si>
    <t>Единовременные платежи</t>
  </si>
  <si>
    <t>一次性付款</t>
  </si>
  <si>
    <t>Allocated costs</t>
  </si>
  <si>
    <t>Allokerad kostnad</t>
  </si>
  <si>
    <t>Coût alloués</t>
  </si>
  <si>
    <t>Costes asignados</t>
  </si>
  <si>
    <t>Распределенный затраты</t>
  </si>
  <si>
    <t>分摊成本</t>
  </si>
  <si>
    <t>Usage from P20 Manufacturing (6,7,8,9)</t>
  </si>
  <si>
    <t>Antal frånP20 Manufacturing (6,7,8,9)</t>
  </si>
  <si>
    <t>Utilisation de Production P20 (6,7,8,9)</t>
  </si>
  <si>
    <t>Uso de P20 Fabricación (6,7,8,9)</t>
  </si>
  <si>
    <t>Использование из P20 Производство (6,7,8,9)</t>
  </si>
  <si>
    <t>P20制造（6.7.8.9）中使用</t>
  </si>
  <si>
    <t>Allocated costs total</t>
  </si>
  <si>
    <t>Total allokerad kostnad</t>
  </si>
  <si>
    <t>Coût alloué total</t>
  </si>
  <si>
    <t>Costes totales asignados</t>
  </si>
  <si>
    <t>Итоговое распределение затрат</t>
  </si>
  <si>
    <t>总计分摊成本</t>
  </si>
  <si>
    <t>I14</t>
  </si>
  <si>
    <t>País de origen</t>
  </si>
  <si>
    <t>I15</t>
  </si>
  <si>
    <t>I16</t>
  </si>
  <si>
    <t>Total inv.</t>
  </si>
  <si>
    <t>Total Investering</t>
  </si>
  <si>
    <t>Investissement total</t>
  </si>
  <si>
    <t>Inversión total</t>
  </si>
  <si>
    <t>投资总额</t>
  </si>
  <si>
    <t>I17</t>
  </si>
  <si>
    <t>One-Time</t>
  </si>
  <si>
    <t>Engångs- 
betalning</t>
  </si>
  <si>
    <t>Inv. direct</t>
  </si>
  <si>
    <t>Единоразовые</t>
  </si>
  <si>
    <t>I18</t>
  </si>
  <si>
    <t>Allocated</t>
  </si>
  <si>
    <t>Allokerad</t>
  </si>
  <si>
    <t>Inv. alloué</t>
  </si>
  <si>
    <t>Asignados</t>
  </si>
  <si>
    <t>Распределенные</t>
  </si>
  <si>
    <t>分摊</t>
  </si>
  <si>
    <t>I19</t>
  </si>
  <si>
    <t>Allocated total</t>
  </si>
  <si>
    <t>Allokerat totalt</t>
  </si>
  <si>
    <t>Total Alloué</t>
  </si>
  <si>
    <t>Total asignado</t>
  </si>
  <si>
    <t>Итоговое распределение</t>
  </si>
  <si>
    <t>分摊总计</t>
  </si>
  <si>
    <t>Carbon footprint total</t>
  </si>
  <si>
    <t xml:space="preserve"> CO2-Fußabdruck  Ges.</t>
  </si>
  <si>
    <t>CO2 fotavtryck total</t>
  </si>
  <si>
    <t>Empreinte carbone Total</t>
  </si>
  <si>
    <t xml:space="preserve"> Huella por emisiones de carbono Total</t>
  </si>
  <si>
    <t xml:space="preserve">Углеродный след Общие </t>
  </si>
  <si>
    <t>CO2 全部的</t>
  </si>
  <si>
    <t>I22</t>
  </si>
  <si>
    <t>CF</t>
  </si>
  <si>
    <t>CO2</t>
  </si>
  <si>
    <t>I23</t>
  </si>
  <si>
    <t>CF total</t>
  </si>
  <si>
    <t>CO2 Ges.</t>
  </si>
  <si>
    <t>CO2 Total</t>
  </si>
  <si>
    <t xml:space="preserve">CO2 Общие </t>
  </si>
  <si>
    <t>H1</t>
  </si>
  <si>
    <t>Machine-hour rate calculation
Only for information
Not linked with any worksheet and not considered via import and export!</t>
  </si>
  <si>
    <t xml:space="preserve">
Endast för information
Inte länkat till något kalkylblad. 
</t>
  </si>
  <si>
    <t>Pour information uniquement
Pas de lien avec es feuilles de calcul
Non pris en compte dans l'import ou l'export de données</t>
  </si>
  <si>
    <t>Sólo para información
No vinculado a ninguna hoja de cálculo</t>
  </si>
  <si>
    <t>Расчет машино-часа только для информации! Не связан с другими вкладками</t>
  </si>
  <si>
    <t xml:space="preserve">机器小时率的计算
仅供参考
没有与任何工作表格相关联
</t>
  </si>
  <si>
    <t>H2</t>
  </si>
  <si>
    <t>Machine Basic data</t>
  </si>
  <si>
    <t>Basdata Maskin / Processutrustning</t>
  </si>
  <si>
    <t>Informations générales</t>
  </si>
  <si>
    <t>Datos básicos de la maquinaria</t>
  </si>
  <si>
    <t>Основные данные об оборудовании</t>
  </si>
  <si>
    <t>机器基础数据</t>
  </si>
  <si>
    <t>H3</t>
  </si>
  <si>
    <t>Manufacturer</t>
  </si>
  <si>
    <t>Tillverkare</t>
  </si>
  <si>
    <t>Fabricant</t>
  </si>
  <si>
    <t>Fabricante</t>
  </si>
  <si>
    <t>Производитель</t>
  </si>
  <si>
    <t>制造商</t>
  </si>
  <si>
    <t>H4</t>
  </si>
  <si>
    <t>Type designation</t>
  </si>
  <si>
    <t>Typ</t>
  </si>
  <si>
    <t>Type de machine</t>
  </si>
  <si>
    <t>Tipo de designación</t>
  </si>
  <si>
    <t>Тип</t>
  </si>
  <si>
    <t>型号名称</t>
  </si>
  <si>
    <t>H5</t>
  </si>
  <si>
    <t>Category</t>
  </si>
  <si>
    <t>Kategori</t>
  </si>
  <si>
    <t>Catégorie</t>
  </si>
  <si>
    <t>Categoría</t>
  </si>
  <si>
    <t>Категория</t>
  </si>
  <si>
    <t>种类</t>
  </si>
  <si>
    <t>H6</t>
  </si>
  <si>
    <t>Machine class</t>
  </si>
  <si>
    <t>Maskin klass</t>
  </si>
  <si>
    <t>Classe de machine</t>
  </si>
  <si>
    <t>Tipo de maquinaria</t>
  </si>
  <si>
    <t>Класс</t>
  </si>
  <si>
    <t>机器类别</t>
  </si>
  <si>
    <t>H7</t>
  </si>
  <si>
    <t>Miscellaneous</t>
  </si>
  <si>
    <t>Diverse</t>
  </si>
  <si>
    <t>Divers</t>
  </si>
  <si>
    <t xml:space="preserve">Otros/varios </t>
  </si>
  <si>
    <t>其他</t>
  </si>
  <si>
    <t>H8</t>
  </si>
  <si>
    <t>H9</t>
  </si>
  <si>
    <t>Investment</t>
  </si>
  <si>
    <t>Investering</t>
  </si>
  <si>
    <t>Investissement</t>
  </si>
  <si>
    <t>Inversión</t>
  </si>
  <si>
    <t>Инвестиции</t>
  </si>
  <si>
    <t>投资</t>
  </si>
  <si>
    <t>H10</t>
  </si>
  <si>
    <t>Aquistion value</t>
  </si>
  <si>
    <t>Förvärvsvärde</t>
  </si>
  <si>
    <t>Valeur d'achat</t>
  </si>
  <si>
    <t>Valor de adquisición</t>
  </si>
  <si>
    <t>Стоимость приобретения</t>
  </si>
  <si>
    <t>购买价值</t>
  </si>
  <si>
    <t>H11</t>
  </si>
  <si>
    <t>Installation expenditures</t>
  </si>
  <si>
    <t>Installations kostnader</t>
  </si>
  <si>
    <t>Dépense d'installation</t>
  </si>
  <si>
    <t>Gastos de instalación</t>
  </si>
  <si>
    <t>Затраты на установку</t>
  </si>
  <si>
    <t>安装费用</t>
  </si>
  <si>
    <t>H12</t>
  </si>
  <si>
    <t>Foundation</t>
  </si>
  <si>
    <t>Fundament</t>
  </si>
  <si>
    <t>Fondation</t>
  </si>
  <si>
    <t>Fundación</t>
  </si>
  <si>
    <t>Основание</t>
  </si>
  <si>
    <t>初始基建</t>
  </si>
  <si>
    <t>H13</t>
  </si>
  <si>
    <t>Other expenditures</t>
  </si>
  <si>
    <t>Autre dépenses</t>
  </si>
  <si>
    <t>Otros gastos</t>
  </si>
  <si>
    <t>Прочие затраты</t>
  </si>
  <si>
    <t>其他开支</t>
  </si>
  <si>
    <t>H14</t>
  </si>
  <si>
    <t>Total Investment</t>
  </si>
  <si>
    <t>Total des investissements</t>
  </si>
  <si>
    <t>总计投资</t>
  </si>
  <si>
    <t>H15</t>
  </si>
  <si>
    <t>Residual Value</t>
  </si>
  <si>
    <t>Restvärde</t>
  </si>
  <si>
    <t>Valeur résiduelle</t>
  </si>
  <si>
    <t>Valor residual</t>
  </si>
  <si>
    <t>Остаточная стоимость</t>
  </si>
  <si>
    <t>剩余价值</t>
  </si>
  <si>
    <t>H16</t>
  </si>
  <si>
    <t>Depreciation sum</t>
  </si>
  <si>
    <t>Avskrivningsbelopp</t>
  </si>
  <si>
    <t>Total des amortissements</t>
  </si>
  <si>
    <t>Total depreciación</t>
  </si>
  <si>
    <t>Амортизация</t>
  </si>
  <si>
    <t>折旧金额</t>
  </si>
  <si>
    <t>H17</t>
  </si>
  <si>
    <t>Capacity factor per year</t>
  </si>
  <si>
    <t>Kapacitets faktor /  år</t>
  </si>
  <si>
    <t>Capacité annuelle</t>
  </si>
  <si>
    <t>Factor de capacidad por año</t>
  </si>
  <si>
    <t>Фактор объема в год</t>
  </si>
  <si>
    <t>年产能数</t>
  </si>
  <si>
    <t>H18</t>
  </si>
  <si>
    <t>Production days per year</t>
  </si>
  <si>
    <t>Produktionsdagar / år</t>
  </si>
  <si>
    <t>Nombre de jours de production par an</t>
  </si>
  <si>
    <t>Días de producción por año</t>
  </si>
  <si>
    <t>Рабочих дней в год</t>
  </si>
  <si>
    <t>年生产天数</t>
  </si>
  <si>
    <t>H19</t>
  </si>
  <si>
    <t>Shift per production day</t>
  </si>
  <si>
    <t>Antal skift / dag</t>
  </si>
  <si>
    <t>Nombre d'équipes de production par jour</t>
  </si>
  <si>
    <t xml:space="preserve">Turnos de producción por día </t>
  </si>
  <si>
    <t>Смен в день</t>
  </si>
  <si>
    <t>每天生产班次</t>
  </si>
  <si>
    <t>H20</t>
  </si>
  <si>
    <t>Production hours per shift</t>
  </si>
  <si>
    <t>Timmar / Shift</t>
  </si>
  <si>
    <t>Nombre d'heures de production par équipe</t>
  </si>
  <si>
    <t>Horas de producción por turno</t>
  </si>
  <si>
    <t>Рабочих часов в смену</t>
  </si>
  <si>
    <t>班次小时数</t>
  </si>
  <si>
    <t>H21</t>
  </si>
  <si>
    <t>Production hours per year</t>
  </si>
  <si>
    <t>Produktions- timmar / år</t>
  </si>
  <si>
    <t>Nombre d'heures de production par an</t>
  </si>
  <si>
    <t>Horas de producción por año</t>
  </si>
  <si>
    <t>Рабочих часов в год</t>
  </si>
  <si>
    <t>年生产小时数</t>
  </si>
  <si>
    <t>H22</t>
  </si>
  <si>
    <t>Utilization ratio</t>
  </si>
  <si>
    <t>Uttnyttjandegrad</t>
  </si>
  <si>
    <t>Taux d'utilisation</t>
  </si>
  <si>
    <t xml:space="preserve">Ratio  de utilización </t>
  </si>
  <si>
    <t>Уровень утилизации</t>
  </si>
  <si>
    <t>利用率</t>
  </si>
  <si>
    <t>H23</t>
  </si>
  <si>
    <t>Produktionstimmar / år</t>
  </si>
  <si>
    <t>Factor de capacidad / año</t>
  </si>
  <si>
    <t>Фактор загрузки в год</t>
  </si>
  <si>
    <t>H24</t>
  </si>
  <si>
    <t>Fixed Costs</t>
  </si>
  <si>
    <t>Fasta kostnader</t>
  </si>
  <si>
    <t>Coûts fixes</t>
  </si>
  <si>
    <t>Costes fijos</t>
  </si>
  <si>
    <t>Постоянные затраты</t>
  </si>
  <si>
    <t>固定成本</t>
  </si>
  <si>
    <t>H25</t>
  </si>
  <si>
    <t>Age of Machine</t>
  </si>
  <si>
    <t>Maskinålder</t>
  </si>
  <si>
    <t>Âge de la machine</t>
  </si>
  <si>
    <t>Edad de la maquinaria</t>
  </si>
  <si>
    <t>Возраст станка</t>
  </si>
  <si>
    <t>机器年限</t>
  </si>
  <si>
    <t>H26</t>
  </si>
  <si>
    <t>Imputed depreciation</t>
  </si>
  <si>
    <t>Avskrivningstid</t>
  </si>
  <si>
    <t>Dépréciation imputée</t>
  </si>
  <si>
    <t>Depreciación atribuida</t>
  </si>
  <si>
    <t>Вмененная амортизация</t>
  </si>
  <si>
    <t>估算折旧（年）</t>
  </si>
  <si>
    <t>H27</t>
  </si>
  <si>
    <t>Imputed interest rate</t>
  </si>
  <si>
    <t>Kalkylränta</t>
  </si>
  <si>
    <t>Taux d'interet imputé</t>
  </si>
  <si>
    <t>Tasa de interés atribuida</t>
  </si>
  <si>
    <t>Вмененный процент</t>
  </si>
  <si>
    <t>估算折旧率</t>
  </si>
  <si>
    <t>H28</t>
  </si>
  <si>
    <t>Required gross area including auxiliary areas</t>
  </si>
  <si>
    <t>Erforderlig produktionsyta inkluderande  extra ytor.</t>
  </si>
  <si>
    <t>Surface brute requise incluant surfaces auxiliaires</t>
  </si>
  <si>
    <t>Área bruta requerida incluyendo áreas auxiliares</t>
  </si>
  <si>
    <t>Занимаемая площадь станка</t>
  </si>
  <si>
    <t>所需总面积包括辅助区域</t>
  </si>
  <si>
    <t>H29</t>
  </si>
  <si>
    <t>Leasing fee production area</t>
  </si>
  <si>
    <t>Kvadratmeter kostnad prodktionsyta</t>
  </si>
  <si>
    <t>Frais de location de la surface de production</t>
  </si>
  <si>
    <t>Tarifa de arrendamiento del área de producción</t>
  </si>
  <si>
    <t>Плата за аренду</t>
  </si>
  <si>
    <t>生产区域的租赁费</t>
  </si>
  <si>
    <t>H30</t>
  </si>
  <si>
    <t>Total fixed costs</t>
  </si>
  <si>
    <t>Total fasta kostnader</t>
  </si>
  <si>
    <t>Total des coûts fixes</t>
  </si>
  <si>
    <t>Total de Costes fijos</t>
  </si>
  <si>
    <t>Итого постоянные затраты</t>
  </si>
  <si>
    <t>总计固定成本</t>
  </si>
  <si>
    <t>H31</t>
  </si>
  <si>
    <t>Variable costs</t>
  </si>
  <si>
    <t>Variabla kostnader</t>
  </si>
  <si>
    <t>Coûts variables</t>
  </si>
  <si>
    <t>Costes variables</t>
  </si>
  <si>
    <t>Переменные затраты</t>
  </si>
  <si>
    <t>可变成本</t>
  </si>
  <si>
    <t>H32</t>
  </si>
  <si>
    <t>Rated power</t>
  </si>
  <si>
    <t>Max Effekt förbrukning</t>
  </si>
  <si>
    <t>Puissance nominale</t>
  </si>
  <si>
    <t>Potencia de la energía eléctrica</t>
  </si>
  <si>
    <t>Мощность</t>
  </si>
  <si>
    <t>额定功率</t>
  </si>
  <si>
    <t>H33</t>
  </si>
  <si>
    <t>Performance capacity utilization</t>
  </si>
  <si>
    <t>Utnyttjandegrad elektrisitet</t>
  </si>
  <si>
    <t>Utilisation de la capacité de performance</t>
  </si>
  <si>
    <t>Rendimiento de la capacidad</t>
  </si>
  <si>
    <t>Утилизация</t>
  </si>
  <si>
    <t>产能利用率</t>
  </si>
  <si>
    <t>H34</t>
  </si>
  <si>
    <t>Energy costs</t>
  </si>
  <si>
    <t>Energi- kostnader</t>
  </si>
  <si>
    <t>Coût de l'énergie</t>
  </si>
  <si>
    <t>Coste de energía</t>
  </si>
  <si>
    <t>Затраты на электроэнергию</t>
  </si>
  <si>
    <t>能源成本</t>
  </si>
  <si>
    <t>H35</t>
  </si>
  <si>
    <t>Maintenance cost</t>
  </si>
  <si>
    <t>Underhålls- kostnader</t>
  </si>
  <si>
    <t>Frais de maintenance</t>
  </si>
  <si>
    <t>Coste de mantenimiento</t>
  </si>
  <si>
    <t>Затраты на обслуживание</t>
  </si>
  <si>
    <t>维护成本</t>
  </si>
  <si>
    <t>H36</t>
  </si>
  <si>
    <t>Operation supplies costs</t>
  </si>
  <si>
    <t>Driftförsörjnings- kostnader</t>
  </si>
  <si>
    <t>Coûts de fournitures d'exploitation</t>
  </si>
  <si>
    <t>Costes de suministros para producción</t>
  </si>
  <si>
    <t>Затраты на расходные материалы</t>
  </si>
  <si>
    <t xml:space="preserve">供应商操作成本  </t>
  </si>
  <si>
    <t>H37</t>
  </si>
  <si>
    <t>Total variable costs</t>
  </si>
  <si>
    <t>Total variabla kostnader</t>
  </si>
  <si>
    <t>Total des coûts variables</t>
  </si>
  <si>
    <t>Total de Costes variables</t>
  </si>
  <si>
    <t>Итого переменные затраты</t>
  </si>
  <si>
    <t>总计可变成本</t>
  </si>
  <si>
    <t>H38</t>
  </si>
  <si>
    <t>Coste/hora maquinaria</t>
  </si>
  <si>
    <t>H39</t>
  </si>
  <si>
    <t>Machine costs per unit of time</t>
  </si>
  <si>
    <t>Maskinkostnad / enhet</t>
  </si>
  <si>
    <t>Taux machine par unité de temps</t>
  </si>
  <si>
    <t>Costes de maquinaria por unidad de tiempo</t>
  </si>
  <si>
    <t>Стоимость машино-часа за единицу времени</t>
  </si>
  <si>
    <t>每个单位时间内的机器成本</t>
  </si>
  <si>
    <t>+</t>
  </si>
  <si>
    <t>h</t>
  </si>
  <si>
    <t>Years(s)</t>
  </si>
  <si>
    <t>m²</t>
  </si>
  <si>
    <t>kW</t>
  </si>
  <si>
    <t>Labor-hourly rate</t>
  </si>
  <si>
    <t>ver 4.x</t>
  </si>
  <si>
    <t>Labor-hour rate calculation
Please duplicate tab for every manufacturing process step
Only for information
Not linked with any worksheet and not considered via import and export!</t>
  </si>
  <si>
    <t>Labor Basic data</t>
  </si>
  <si>
    <t>Skill level 1</t>
  </si>
  <si>
    <t>Function</t>
  </si>
  <si>
    <t>Qualification</t>
  </si>
  <si>
    <t>Gross wage</t>
  </si>
  <si>
    <t>/h</t>
  </si>
  <si>
    <t>Labor burden</t>
  </si>
  <si>
    <t>Labor costs</t>
  </si>
  <si>
    <t>Labor utilization ratio</t>
  </si>
  <si>
    <t>Labor hourly rate</t>
  </si>
  <si>
    <t>Skill level 2</t>
  </si>
  <si>
    <t>Skill level 3</t>
  </si>
  <si>
    <t>Summary number of workers</t>
  </si>
  <si>
    <t>Workers</t>
  </si>
  <si>
    <t>Summary Labor hourly rate</t>
  </si>
  <si>
    <r>
      <rPr>
        <b/>
        <sz val="9"/>
        <rFont val="Calibri"/>
        <family val="2"/>
        <scheme val="minor"/>
      </rPr>
      <t>Definition: 
skilled worker:</t>
    </r>
    <r>
      <rPr>
        <sz val="9"/>
        <rFont val="Calibri"/>
        <family val="2"/>
        <scheme val="minor"/>
      </rPr>
      <t xml:space="preserve"> Laborers with three years of vocational training without special or additional qualifications, such as mechanics, mechanical engineers, metalworkers, welders, electricians, and industrial mechanics
</t>
    </r>
    <r>
      <rPr>
        <b/>
        <sz val="9"/>
        <rFont val="Calibri"/>
        <family val="2"/>
        <scheme val="minor"/>
      </rPr>
      <t xml:space="preserve">unskilled worker : </t>
    </r>
    <r>
      <rPr>
        <sz val="9"/>
        <rFont val="Calibri"/>
        <family val="2"/>
        <scheme val="minor"/>
      </rPr>
      <t>Untrained laborers such as warehouse workers, untrained workers, packers, or drivers with no special training, and production assistants</t>
    </r>
  </si>
  <si>
    <t>Worksheets in the Cost Break Down:</t>
  </si>
  <si>
    <t>Cell name</t>
  </si>
  <si>
    <t>Description</t>
  </si>
  <si>
    <t>Calculation</t>
  </si>
  <si>
    <t>Imported: Material (1,2,3) Worksheet --&gt; Sums: Total raw material costs</t>
  </si>
  <si>
    <t>Purchases parts</t>
  </si>
  <si>
    <t>Total purchased parts costs</t>
  </si>
  <si>
    <t>Imported: Material (1,2,3) Worksheet --&gt; Sums: Total purchased part costs</t>
  </si>
  <si>
    <t>Total direct material costs</t>
  </si>
  <si>
    <t>1 Raw materials + 2 Purchased parts</t>
  </si>
  <si>
    <t>Imported: Material (1,2,3) Worksheet --&gt; Sums: Total material scrap costs</t>
  </si>
  <si>
    <t>Total material overhead costs</t>
  </si>
  <si>
    <t>Imported: Material (1,2,3) Worksheet --&gt; Sums: Total material overhead costs</t>
  </si>
  <si>
    <t>Interest on material stock</t>
  </si>
  <si>
    <t>Direct Input</t>
  </si>
  <si>
    <t>3 Direct material + 4 Material scrap + 5 Material overhead + 6 Interest material</t>
  </si>
  <si>
    <t>Total machine costs</t>
  </si>
  <si>
    <t>Imported: Manufacturing (6,7,8,9) Worksheets --&gt; Sums: Machine costs * P20 Usage</t>
  </si>
  <si>
    <t>Total setup costs</t>
  </si>
  <si>
    <t>Imported: Manufacturing (6,7,8,9) Worksheets --&gt; Sums: Setup costs * P20 Usage</t>
  </si>
  <si>
    <t>Total direct labor costs</t>
  </si>
  <si>
    <t>Imported: Manufacturing (6,7,8,9) Worksheets --&gt; Sums: Direct labor costs * P20 Usage</t>
  </si>
  <si>
    <t>Tool and devices, maintenance costs</t>
  </si>
  <si>
    <t>Total tool and devices, maintenance costs</t>
  </si>
  <si>
    <t>Imported: Manufacturing (6,7,8,9) Worksheets --&gt; Sums: Tool maintenance * P20 Usage</t>
  </si>
  <si>
    <t>Total process manufacturing costs</t>
  </si>
  <si>
    <t>Imported: Manufacturing (6,7,8,9) Worksheets --&gt; Sums: Process manufacturing * P20 Usage</t>
  </si>
  <si>
    <t>8 Machines + 9 Setup costs + 10 Direct labor + 11 Tool and devices, maintenance costs + Process manufacturing</t>
  </si>
  <si>
    <t>Total manufacturing overhead costs</t>
  </si>
  <si>
    <t>Imported: Manufacturing (6,7,8,9) Worksheets --&gt; Sums: P16 Direct manufacturing costs * P17 Manufacturing overhead costs % * P20 Usage</t>
  </si>
  <si>
    <t>Total manuf. scrap costs</t>
  </si>
  <si>
    <t>Imported: Manufacturing (6,7,8,9) Worksheets --&gt; Sums: manuf scrap costs</t>
  </si>
  <si>
    <t>Total allocated costs total</t>
  </si>
  <si>
    <t>Imported: Tools and Devices (16,24) Worksheets --&gt; Sums: I13 Allocated costs total</t>
  </si>
  <si>
    <t>Interest on work in progress</t>
  </si>
  <si>
    <t>Manufacturing II+III</t>
  </si>
  <si>
    <t>13 Manufacturing I + 14 Manufacturing overhead + 15 Manuf. scrap + 16 Tools and devices allocated + 17 Int. Work in prog.</t>
  </si>
  <si>
    <t>7 Material + 18 Manufacturing II + III</t>
  </si>
  <si>
    <t>Specific developement costs allocated</t>
  </si>
  <si>
    <t>Specific development cost allocated</t>
  </si>
  <si>
    <t>Please input the Sales and general administration rate in %. The SGA are administrative costs (e.g. costs for management staff and the accounting, human resources, legal and IT departments) and selling costs (e.g. marketing, advertising, distribution store, sales organization, sales training) that are incurred for all of a company’s products and cannot be specifically allocated to one product</t>
  </si>
  <si>
    <t>The Base for the Sales and general administration costs are 19 Production Costs</t>
  </si>
  <si>
    <t>21 Sales and Administration Costs in % * 19 Production Costs</t>
  </si>
  <si>
    <t>22 Research and development costs in % * 19 Production Costs</t>
  </si>
  <si>
    <t>Cell for aditional costs or overhead costs</t>
  </si>
  <si>
    <t>Total prime</t>
  </si>
  <si>
    <t>19 Production costs + 20 Specific developement costs allocated + 21 Sales and general administration costs + 22 Research and development costs + 23 Others</t>
  </si>
  <si>
    <t>Profit rate in %</t>
  </si>
  <si>
    <t>25 Profit costs / (8 Machines + 9 Setup costs + 10 Direct labor + 11 Tool and devices, maintenance costs + 14 Manufacturing overhead costs)</t>
  </si>
  <si>
    <t>Please input the Profit costs per unit</t>
  </si>
  <si>
    <t>Term of payment</t>
  </si>
  <si>
    <t>Please enter the interest for terms of payment if relevant</t>
  </si>
  <si>
    <t xml:space="preserve"> Transport, duties</t>
  </si>
  <si>
    <t>Please enter the cost for Transport and duties per unit if relevant</t>
  </si>
  <si>
    <t>Please enter the cost for carbon tax per unit if relevant</t>
  </si>
  <si>
    <t>24 Prime + 25 Profit + 26 Term of payment + 27 Transport, duties + 28 Carbon tax</t>
  </si>
  <si>
    <t>One-time payments / tools and devices</t>
  </si>
  <si>
    <t>Not allocated one-time tool and device costs</t>
  </si>
  <si>
    <t>Imported: Tools and Devices (16,24) --&gt; Sums: I10 One-time</t>
  </si>
  <si>
    <t>One-time payments / Specific development costs</t>
  </si>
  <si>
    <t>Not allocated one-time specific development costs</t>
  </si>
  <si>
    <t>Please enter the no. (1,2,3,4,5,6...)</t>
  </si>
  <si>
    <t>Please enter the manufacturing step no. related (Tab Manufacturing)</t>
  </si>
  <si>
    <t>Item Number</t>
  </si>
  <si>
    <t>Please enter the Item Number</t>
  </si>
  <si>
    <t>Please enter the Name of the part which is produced with the raw material or purchased part from M5</t>
  </si>
  <si>
    <t>Please enter the Name of the raw material or purchased part</t>
  </si>
  <si>
    <t>Please choose if it is a raw material or purchased part.</t>
  </si>
  <si>
    <t>Select</t>
  </si>
  <si>
    <t>Please enter  the Name of the sub-supplier</t>
  </si>
  <si>
    <t>Please select the unit of the raw material (kg) /purchased part (pcs)</t>
  </si>
  <si>
    <t>Initila quantity necessary to obtain the finished part</t>
  </si>
  <si>
    <t>Quantity used in finished part. (only for information)</t>
  </si>
  <si>
    <t>Please enter how many time are these costs  going into the final offer price.</t>
  </si>
  <si>
    <t>Please select the currency in which you bought the raw material/purchased part.</t>
  </si>
  <si>
    <t>Please enter the price in purchasing currency including transportation and duties.</t>
  </si>
  <si>
    <t>Please enter the exchange rate. Example: Quotation currency = EUR.  /  Purchasing Currency = USD. Exchange rate = EUR / USD --&gt; 1 / 1,12 = 0,8929</t>
  </si>
  <si>
    <t xml:space="preserve">Automatic calculated price in quotation currency. </t>
  </si>
  <si>
    <t>M13 Price in purchasing currency per unit * M14 Rate of exchange (AW/BW)</t>
  </si>
  <si>
    <t>Automatic calculated price in the quotation currency.</t>
  </si>
  <si>
    <t xml:space="preserve"> M9 Deployed weight/quantity * M15 Price in quotation currency per unit</t>
  </si>
  <si>
    <t>Material overhead costs</t>
  </si>
  <si>
    <t xml:space="preserve">Please enter the material overhead rate in % per raw material / purchased part. </t>
  </si>
  <si>
    <t>Automatic calculated Material overhead costs</t>
  </si>
  <si>
    <t>M16 Material costs * M17 Material overhead costs (%)</t>
  </si>
  <si>
    <t>Please enter the material scrap costs per unit.</t>
  </si>
  <si>
    <t>% automatic calculated</t>
  </si>
  <si>
    <t>M18 Material scrap costs / (M16 Material costs  + M18 Material scrap costs% * M16 Material costs)</t>
  </si>
  <si>
    <t>Automatic calculated total material costs in quotation currency.</t>
  </si>
  <si>
    <t>(M16 Material costs + M17 Material overhead costs + M18 Material scrap costs)* M11 Usage</t>
  </si>
  <si>
    <t>Please enter the manufacturing step no (1,2,3,4,5,6...)</t>
  </si>
  <si>
    <t>Please descripe the Manufacturing step for which you enter the cost details.</t>
  </si>
  <si>
    <t>Please descripe the facility / machine / type</t>
  </si>
  <si>
    <t>Investment facility/machine/type</t>
  </si>
  <si>
    <t>Please enter the Investmentsum of the facility / machine / type</t>
  </si>
  <si>
    <t>Please enter the Utilization ratio in %</t>
  </si>
  <si>
    <t>Please enter the seconds for the cycle duration of a cyclically recurring manufacturing process.</t>
  </si>
  <si>
    <t>Please enter how many parts are manufactured during the cycle time.</t>
  </si>
  <si>
    <t>Please enter the Machine hourly rate.</t>
  </si>
  <si>
    <t>Automatic calculated Machine costs.</t>
  </si>
  <si>
    <t>P6 Cycle time * P8 Machine hourly rate / P7 Number of parts per cycle / 3600</t>
  </si>
  <si>
    <t>Please enter the number of direct workers that are needed for the process.</t>
  </si>
  <si>
    <t>Please enter the Total labour hourly rate. Include gross wage + Labor burden</t>
  </si>
  <si>
    <t>Automatic calculated Direct labor costs.</t>
  </si>
  <si>
    <t>(P10 Number of direct workers * P11 Total labour hourly rate) * P6 Cycle time  / P7 Number of parts per cycle / 3600)</t>
  </si>
  <si>
    <t>Please enter the setup costs / process costs per unit. If not detailled process</t>
  </si>
  <si>
    <t>Manufacturing lot size (only for info:)</t>
  </si>
  <si>
    <t>Please enter the manufacturing lot size</t>
  </si>
  <si>
    <t>Tool maintenance per unit.</t>
  </si>
  <si>
    <t>Automatic calculated Direct Manufacturing costs per unit.</t>
  </si>
  <si>
    <t>P9 Machine costs + P12 Direct labor costs + P13 Setup costs per unit + P15 Tool maintenance</t>
  </si>
  <si>
    <t>Please enter the Manufacturing overhead rate in % per manufacturing step.</t>
  </si>
  <si>
    <t>Automatic calculated Manufacturing overhead costs.</t>
  </si>
  <si>
    <t>P16 Direct Manufacturing costs * P17 Manufacturing overhead in %</t>
  </si>
  <si>
    <t>Please enter the manufacturing scrap costs per unit.</t>
  </si>
  <si>
    <t>Automatic calculated Manufacturing scrap costs in %</t>
  </si>
  <si>
    <t>P18 Manufacturing scrap costs per unit / P 19 Manufacturing costs</t>
  </si>
  <si>
    <t>Automatic calculated Manufacturing costs.</t>
  </si>
  <si>
    <t>P16 Direct Manufacturing costs + P17 Manufacturing overhead costs + P18 Manufacturing scrap costs per unit</t>
  </si>
  <si>
    <t>Automatic calculated total Manufacturing costs</t>
  </si>
  <si>
    <t>P 19 Manufacturing costs * P20 Usage</t>
  </si>
  <si>
    <t>Please enter to which manufacturing step (manufacturing tab) the Tool / Device belong to.</t>
  </si>
  <si>
    <t>Please descripe the Tool / Device for which you enter the cost details.</t>
  </si>
  <si>
    <t>Please enter the possible cycles to manufacture parts with that tool.</t>
  </si>
  <si>
    <t>Please select the currency in which you bought the Tool / Device.</t>
  </si>
  <si>
    <t>Please enter the Investment in purchasing currency.</t>
  </si>
  <si>
    <t>Rate of exchange</t>
  </si>
  <si>
    <t>Please enter the exchange rate.</t>
  </si>
  <si>
    <t xml:space="preserve">Automatic calculated Investment in quotation currency. </t>
  </si>
  <si>
    <t>I5 Investment in purchasing currency * I6 Rate of exchange</t>
  </si>
  <si>
    <t>Please enter the number of Tools / Devices over the lifetime.</t>
  </si>
  <si>
    <t>Automatic calculated Total investment.</t>
  </si>
  <si>
    <t>I7 Investment in quotation currency * I8 Number (lifetime)</t>
  </si>
  <si>
    <r>
      <t xml:space="preserve">Please enter the One-time payments that are </t>
    </r>
    <r>
      <rPr>
        <u/>
        <sz val="9"/>
        <color theme="1"/>
        <rFont val="Calibri"/>
        <family val="2"/>
        <scheme val="minor"/>
      </rPr>
      <t>not</t>
    </r>
    <r>
      <rPr>
        <sz val="9"/>
        <color theme="1"/>
        <rFont val="Calibri"/>
        <family val="2"/>
        <scheme val="minor"/>
      </rPr>
      <t xml:space="preserve"> allocated in the quotation price.</t>
    </r>
  </si>
  <si>
    <t>Please enter the Allocated costs that are allocated in the quotation price.</t>
  </si>
  <si>
    <t>Automatic transferred from the Manufacturing tab if there is a similar Manufacturing step no.</t>
  </si>
  <si>
    <t>From P20 UsageManufacturing (6,7,8,9)</t>
  </si>
  <si>
    <t>Automatic calculated the Allocated costs total</t>
  </si>
  <si>
    <t>I12 Usage from P20 Manufacturing (6,7,8,9) * I11 Allocated costs total</t>
  </si>
  <si>
    <t>Please enter the Manufacturer of the machine</t>
  </si>
  <si>
    <t>Please enter the Type designation</t>
  </si>
  <si>
    <t>Please enter the Category</t>
  </si>
  <si>
    <t>Please enter the Machine class</t>
  </si>
  <si>
    <t>Please enter miscellaneous information</t>
  </si>
  <si>
    <t>Please enter the Aquistion value</t>
  </si>
  <si>
    <t>Please enter the Installation expenditures in %</t>
  </si>
  <si>
    <t>Automatic calculated Installation expenditures</t>
  </si>
  <si>
    <t>Aquisition value * Installation expenditure</t>
  </si>
  <si>
    <t>Please enter the Foundation in %</t>
  </si>
  <si>
    <t>Automatic calculated Foundation</t>
  </si>
  <si>
    <t>Aquisition value * Foundation</t>
  </si>
  <si>
    <t>Please enter the Other expenditures in %</t>
  </si>
  <si>
    <t>Automatic calculated Other expenditures</t>
  </si>
  <si>
    <t>Aquisition value * Other expenditures</t>
  </si>
  <si>
    <t>Please enter the Total Investment</t>
  </si>
  <si>
    <t>Please enter the Residual Value in %</t>
  </si>
  <si>
    <t>Automatic calculated Residual Value</t>
  </si>
  <si>
    <t>Aquisition value * Residual Value</t>
  </si>
  <si>
    <t>Total Investment - Residual Value</t>
  </si>
  <si>
    <t>Please enter the Production days per year</t>
  </si>
  <si>
    <t>Please enter the Shift per production day</t>
  </si>
  <si>
    <t>Please enter the Production hours per shift</t>
  </si>
  <si>
    <t>Automatic calculated Production hours per year</t>
  </si>
  <si>
    <t>Production days per year * Shift per production day * Production hours per shift</t>
  </si>
  <si>
    <t>Please enter the Utilization ratio</t>
  </si>
  <si>
    <t>Automatic calculated Capacity factor per year</t>
  </si>
  <si>
    <t>Production hours per year * Utilization ratio</t>
  </si>
  <si>
    <t>Please enter the Age of Machine</t>
  </si>
  <si>
    <t>Please enter the Imputed depreciation</t>
  </si>
  <si>
    <t>Automatic calculated Imputed depreciation</t>
  </si>
  <si>
    <t>Depreciation sum * Imputed depreciation</t>
  </si>
  <si>
    <t>(Depreciation sum * Inputed depreciation)/Capacity factor per year</t>
  </si>
  <si>
    <t>Please enter the Imputed interest rate</t>
  </si>
  <si>
    <t>Automatic calculated interest rate</t>
  </si>
  <si>
    <t>((Total Investment + Residual Value)/2) * (Imputed Interest rate)</t>
  </si>
  <si>
    <t>(((Total Investment + Residual Value)/2) * (Imputed Interest rate))/Capacity factor per year</t>
  </si>
  <si>
    <t>Please enter the Required gross area including auxiliary areas</t>
  </si>
  <si>
    <t>Please enter the Leasing fee production area</t>
  </si>
  <si>
    <t>Automatic calculated Leasing fee production area</t>
  </si>
  <si>
    <t>Required gross area including auxiliary areas * Leasing fee production ares * 12</t>
  </si>
  <si>
    <t>(Required gross area including auxiliary areas * Leasing fee production ares * 12) / Capacity factor per year</t>
  </si>
  <si>
    <t>Imputed depreciation + Imputed interest rate + Required gross area including auxiliary areas + Leasing fee production areas</t>
  </si>
  <si>
    <t>Please enter the Rated power</t>
  </si>
  <si>
    <t>Please enter the Performance capacity utilization</t>
  </si>
  <si>
    <t>Please enter the Energy costs</t>
  </si>
  <si>
    <t>Automatic calculated Energy costs</t>
  </si>
  <si>
    <t>Rated power * Performance capacity utilization * Energy costs * Capacity factor per year</t>
  </si>
  <si>
    <t>Rated power * Performance capacity utilization * Energy costs</t>
  </si>
  <si>
    <t>Please enter the Maintenance cost</t>
  </si>
  <si>
    <t>Automatic calculated Maintenance cost</t>
  </si>
  <si>
    <t>Total Investment * Maintenance cost</t>
  </si>
  <si>
    <t>Please enter the Operation supplies costs</t>
  </si>
  <si>
    <t>Automatic calculated Operation supplies costs</t>
  </si>
  <si>
    <t>Total Investment * Operation supplies costs</t>
  </si>
  <si>
    <t>Automatic calculated Operation Total variable costs</t>
  </si>
  <si>
    <t>Energy costs + Maintenance cost + Operation supplies costs</t>
  </si>
  <si>
    <t>Automatic calculated Machine costs per unit of time</t>
  </si>
  <si>
    <t>Total fixed costs + Total variable costs</t>
  </si>
  <si>
    <t>Explanation of the Cost Break Down</t>
  </si>
  <si>
    <t>Opportunity to implement specific wording</t>
  </si>
  <si>
    <t>General information</t>
  </si>
  <si>
    <t>The workbook/sheets/Functions is/are not protected</t>
  </si>
  <si>
    <t>Use of the template: Hide "Docu. TcPCM and Excel", "Wording" sheet and if not needed the "MHR" tab</t>
  </si>
  <si>
    <t>Import (Excel --&gt; TcPCM)</t>
  </si>
  <si>
    <t>Export (TcPCM --&gt; Excel)</t>
  </si>
  <si>
    <t>TcPCM Tab</t>
  </si>
  <si>
    <t>TcPCM View</t>
  </si>
  <si>
    <t>TcPCM Field</t>
  </si>
  <si>
    <t>Basisc data</t>
  </si>
  <si>
    <t>Part</t>
  </si>
  <si>
    <t>Supplier name</t>
  </si>
  <si>
    <t>Quantity</t>
  </si>
  <si>
    <t>Lifetime</t>
  </si>
  <si>
    <t>Annual requirement usable parts in this assembly</t>
  </si>
  <si>
    <t>Average annual requirement usable part</t>
  </si>
  <si>
    <t>Manufacturing lot size usable parts</t>
  </si>
  <si>
    <t>Base currency</t>
  </si>
  <si>
    <t>Quantity unit</t>
  </si>
  <si>
    <t>Date of calculation (SOP)</t>
  </si>
  <si>
    <t>Basic data</t>
  </si>
  <si>
    <t>Calculation variant</t>
  </si>
  <si>
    <t>Summary comment</t>
  </si>
  <si>
    <t>Quantity Comment field</t>
  </si>
  <si>
    <t>Calculation variant comment field</t>
  </si>
  <si>
    <t>Quantity comment</t>
  </si>
  <si>
    <t>Quantity comment field</t>
  </si>
  <si>
    <t>Modified by - Last name (User)</t>
  </si>
  <si>
    <t>Modified by - E-Mail (User)</t>
  </si>
  <si>
    <t>Modified by - Telephone (User)</t>
  </si>
  <si>
    <t>Project, Quotation date, Contact person, E-Mail, Telephone, Manufacturing lots, Production site, All Specific fields</t>
  </si>
  <si>
    <t>Part Comment field</t>
  </si>
  <si>
    <t>Direct material costs</t>
  </si>
  <si>
    <t>Material scrap included:</t>
  </si>
  <si>
    <t>Manufacturing costs/machine costs</t>
  </si>
  <si>
    <t>Manuf. Scrap</t>
  </si>
  <si>
    <t>Manufacturing costs III (…)</t>
  </si>
  <si>
    <t>Overheads</t>
  </si>
  <si>
    <t>Overheads after PC</t>
  </si>
  <si>
    <t>Other costs</t>
  </si>
  <si>
    <t>Other expenditures after PC</t>
  </si>
  <si>
    <t>Special direct costs, Overheads after PC</t>
  </si>
  <si>
    <t>Allocation of part-specific ramp-up costs, Allocation of packaging and carrier costs,
Imputed costs for business risks,
Interest on finished product stock,
Other expenditure after PC,
Interest on finished product stock,
Other expenditures after PC,
Direct overheads after PC</t>
  </si>
  <si>
    <t>Tools and Devices allocated allocated</t>
  </si>
  <si>
    <t>Interest for terms of payment</t>
  </si>
  <si>
    <t>Interest for terms of payment, Discount</t>
  </si>
  <si>
    <t>Incoterms</t>
  </si>
  <si>
    <t>Transport costs</t>
  </si>
  <si>
    <t>Transport costs and Customs duty</t>
  </si>
  <si>
    <t>Special direct costs</t>
  </si>
  <si>
    <t>Allocation of part-specific development costs</t>
  </si>
  <si>
    <t>Overheads after PC comment field</t>
  </si>
  <si>
    <t>Quotation price (2)</t>
  </si>
  <si>
    <t>Fixed price (Calculation)</t>
  </si>
  <si>
    <t>Material comment</t>
  </si>
  <si>
    <t>Material costs view</t>
  </si>
  <si>
    <t>Basic data (8.x Part tab)</t>
  </si>
  <si>
    <t>M3.1</t>
  </si>
  <si>
    <t>Part comment field</t>
  </si>
  <si>
    <t>Designation of the parent part</t>
  </si>
  <si>
    <t>M3.2</t>
  </si>
  <si>
    <t>Designation</t>
  </si>
  <si>
    <t>Basic data (8.x Material classification))</t>
  </si>
  <si>
    <t>Procurement type / Material class (8.x Classification)</t>
  </si>
  <si>
    <t>Materials</t>
  </si>
  <si>
    <t>Part / Part / Base currency</t>
  </si>
  <si>
    <t>Price</t>
  </si>
  <si>
    <t>Exchange rate</t>
  </si>
  <si>
    <t>Total Deployed weight/ quantity</t>
  </si>
  <si>
    <t>Total Net weight of finished part (only for info.)</t>
  </si>
  <si>
    <t>Raw Material / Net weight of finished part</t>
  </si>
  <si>
    <t>Total Scrap (yield) only raw materials</t>
  </si>
  <si>
    <t>Additional Material is created named ... (Scrap yield)</t>
  </si>
  <si>
    <t>Raw Material / Scrap (yield)</t>
  </si>
  <si>
    <t>DMC (Direct Material costs)</t>
  </si>
  <si>
    <t>Manufacturing comment</t>
  </si>
  <si>
    <t>Manufacturing step</t>
  </si>
  <si>
    <t>Manufacturing steps</t>
  </si>
  <si>
    <t>Manufacturing steps comment field</t>
  </si>
  <si>
    <t>Organizational</t>
  </si>
  <si>
    <t>Production system</t>
  </si>
  <si>
    <t>Production system, Activities</t>
  </si>
  <si>
    <t>Type designation, Designation</t>
  </si>
  <si>
    <t>Machine Editor / Tab Machine hourly rate / Acquisition value</t>
  </si>
  <si>
    <t>Machine Editor / Machine hourly rate / Investment</t>
  </si>
  <si>
    <t>Process</t>
  </si>
  <si>
    <t>Process comment</t>
  </si>
  <si>
    <t>Cycle time, Process manufacturing step (cycle time is set to 3600 because of the missing cycle time in this step)</t>
  </si>
  <si>
    <t>Machine Editor / Machine hourly rate</t>
  </si>
  <si>
    <t>Machine Editor / Machine hourly rate, Activities / Activity price (Cost type direct machine costs)</t>
  </si>
  <si>
    <t>Direct Labor</t>
  </si>
  <si>
    <t>Number of workers</t>
  </si>
  <si>
    <t>Direct Labor, Activities</t>
  </si>
  <si>
    <t>Required Labor, Number (Cost type direct labor)</t>
  </si>
  <si>
    <t>Gross Wage</t>
  </si>
  <si>
    <t>Direct Labor , Activities</t>
  </si>
  <si>
    <t>Labor hourly rate, Activity price (Cost type direct labor), Process manufacturing step / Manufacturing costs I</t>
  </si>
  <si>
    <t>Setup costs / Costs per unit</t>
  </si>
  <si>
    <t xml:space="preserve">Production system </t>
  </si>
  <si>
    <t>Machine Editor / Tab Set-up / Set-up costs labor</t>
  </si>
  <si>
    <t>Machine Editor / Tab Set-up / Set-up costs per part, Costs (Cost type Direct input set-up costs, Labor set-up costs. Machine set-up costs) and process manufacturing step costs</t>
  </si>
  <si>
    <t>Manufacturing lot size (incoming quantity)</t>
  </si>
  <si>
    <t>Direct Input maintenance  costs</t>
  </si>
  <si>
    <t>Tools and Devices, Activities</t>
  </si>
  <si>
    <t>Maintenance costs ,Activity price (Cost type: Tools and devices, maintenance costs)</t>
  </si>
  <si>
    <t>Manufacturing costs II (including tool allocation)</t>
  </si>
  <si>
    <t>Residual manufacturing overhead costs</t>
  </si>
  <si>
    <t>Import usage in the manufacturing lot fraction of a detailed manufacturing step</t>
  </si>
  <si>
    <t>Manufacturing lot fraction and Usage of the manufacturing step in the calculation</t>
  </si>
  <si>
    <t>Tool comment</t>
  </si>
  <si>
    <t>Manufacturing costs I and II</t>
  </si>
  <si>
    <t>Manufacturing costs I and II comment field</t>
  </si>
  <si>
    <t>Assign tool to the corresponding manufacturing step, if no matching manufacturing step is available a dummy process is created for the tool</t>
  </si>
  <si>
    <t>Step no. is exported</t>
  </si>
  <si>
    <t>Tool / Comment</t>
  </si>
  <si>
    <t>Currency</t>
  </si>
  <si>
    <t>Investment per tool or device</t>
  </si>
  <si>
    <t>Exchange rate to the root part</t>
  </si>
  <si>
    <t>One-time payment, direct input</t>
  </si>
  <si>
    <t>Allocated costs, direct input</t>
  </si>
  <si>
    <t>Allocated investment costs and interest costs</t>
  </si>
  <si>
    <t>Assumptions</t>
  </si>
  <si>
    <t>List of acceptable quotation currencies</t>
  </si>
  <si>
    <t>List of acceptable purchasing currencies</t>
  </si>
  <si>
    <t>List of acceptable quotation units</t>
  </si>
  <si>
    <t>List of acceptable purchasing units</t>
  </si>
  <si>
    <t>List Material class</t>
  </si>
  <si>
    <t>List Calculation qualities</t>
  </si>
  <si>
    <t>Cylce time unit</t>
  </si>
  <si>
    <t>EUR</t>
  </si>
  <si>
    <t>Euro</t>
  </si>
  <si>
    <t>USD</t>
  </si>
  <si>
    <t>US dollar</t>
  </si>
  <si>
    <t>10pcs</t>
  </si>
  <si>
    <t>Purchased part</t>
  </si>
  <si>
    <t>Rough</t>
  </si>
  <si>
    <t>minutes</t>
  </si>
  <si>
    <t>CNY</t>
  </si>
  <si>
    <t>Chinese renminbi yuan</t>
  </si>
  <si>
    <t>100pcs</t>
  </si>
  <si>
    <t>hours</t>
  </si>
  <si>
    <t>BRL</t>
  </si>
  <si>
    <t>Brazilian real</t>
  </si>
  <si>
    <t>1000pcs</t>
  </si>
  <si>
    <t>GBP</t>
  </si>
  <si>
    <t>British pound</t>
  </si>
  <si>
    <t>10000pcs</t>
  </si>
  <si>
    <t>JPY</t>
  </si>
  <si>
    <t>Japanese yen</t>
  </si>
  <si>
    <t>SEK</t>
  </si>
  <si>
    <t>Swedish krona</t>
  </si>
  <si>
    <t>kg</t>
  </si>
  <si>
    <t>ALL</t>
  </si>
  <si>
    <t>Albania</t>
  </si>
  <si>
    <t>t</t>
  </si>
  <si>
    <t>ARS</t>
  </si>
  <si>
    <t>Argentinean peso</t>
  </si>
  <si>
    <t>mm</t>
  </si>
  <si>
    <t>AUD</t>
  </si>
  <si>
    <t>Australia</t>
  </si>
  <si>
    <t>cm</t>
  </si>
  <si>
    <t>BAM</t>
  </si>
  <si>
    <t>Bosnian marka</t>
  </si>
  <si>
    <t>m</t>
  </si>
  <si>
    <t>BGN</t>
  </si>
  <si>
    <t>Bulgarian lev</t>
  </si>
  <si>
    <t>m2</t>
  </si>
  <si>
    <t>BYR</t>
  </si>
  <si>
    <t>Belarus rouble</t>
  </si>
  <si>
    <t>m3</t>
  </si>
  <si>
    <t>CAD</t>
  </si>
  <si>
    <t>Canadian dollar</t>
  </si>
  <si>
    <t>CHF</t>
  </si>
  <si>
    <t>Swiss franc</t>
  </si>
  <si>
    <t>l</t>
  </si>
  <si>
    <t>CZK</t>
  </si>
  <si>
    <t>Czech koruna</t>
  </si>
  <si>
    <t>pound</t>
  </si>
  <si>
    <t>DKK</t>
  </si>
  <si>
    <t>Danish krone</t>
  </si>
  <si>
    <t>ounce</t>
  </si>
  <si>
    <t>DZD</t>
  </si>
  <si>
    <t>Algerian dinar</t>
  </si>
  <si>
    <t>yd</t>
  </si>
  <si>
    <t>EEK</t>
  </si>
  <si>
    <t>Estonian kroon</t>
  </si>
  <si>
    <t>ft</t>
  </si>
  <si>
    <t>EGP</t>
  </si>
  <si>
    <t>Egypt</t>
  </si>
  <si>
    <t>HKD</t>
  </si>
  <si>
    <t>Hong Kong dollar</t>
  </si>
  <si>
    <t>yd2</t>
  </si>
  <si>
    <t>HRK</t>
  </si>
  <si>
    <t>Croatian kuna</t>
  </si>
  <si>
    <t>ft2</t>
  </si>
  <si>
    <t>HUF</t>
  </si>
  <si>
    <t>Hungarian forint</t>
  </si>
  <si>
    <t>in2</t>
  </si>
  <si>
    <t>IDR</t>
  </si>
  <si>
    <t>Indonesian rupiah</t>
  </si>
  <si>
    <t>yd3</t>
  </si>
  <si>
    <t>ILS</t>
  </si>
  <si>
    <t>Israeli new shekel</t>
  </si>
  <si>
    <t>ft3</t>
  </si>
  <si>
    <t>INR</t>
  </si>
  <si>
    <t>Indian rupee</t>
  </si>
  <si>
    <t>in3</t>
  </si>
  <si>
    <t>KRW</t>
  </si>
  <si>
    <t>South Korean won</t>
  </si>
  <si>
    <t>LTL</t>
  </si>
  <si>
    <t>Lithuanian litas</t>
  </si>
  <si>
    <t>LVL</t>
  </si>
  <si>
    <t>Latvian lats</t>
  </si>
  <si>
    <t>MAD</t>
  </si>
  <si>
    <t>Morocco</t>
  </si>
  <si>
    <t>MKD</t>
  </si>
  <si>
    <t>Macedonia</t>
  </si>
  <si>
    <t>MXN</t>
  </si>
  <si>
    <t>Mexican peso</t>
  </si>
  <si>
    <t>MYR</t>
  </si>
  <si>
    <t>Malaysian ringgit</t>
  </si>
  <si>
    <t>NOK</t>
  </si>
  <si>
    <t>Norwegian krone</t>
  </si>
  <si>
    <t>NZD</t>
  </si>
  <si>
    <t>New Zealand</t>
  </si>
  <si>
    <t>PHP</t>
  </si>
  <si>
    <t>Philippine peso</t>
  </si>
  <si>
    <t>PLN</t>
  </si>
  <si>
    <t>Polish zloty</t>
  </si>
  <si>
    <t>RON</t>
  </si>
  <si>
    <t>Romanian leu</t>
  </si>
  <si>
    <t>RSD</t>
  </si>
  <si>
    <t>Serbia</t>
  </si>
  <si>
    <t>RUB</t>
  </si>
  <si>
    <t>Russian rouble</t>
  </si>
  <si>
    <t>SGD</t>
  </si>
  <si>
    <t>Singapore dollar</t>
  </si>
  <si>
    <t>SKK</t>
  </si>
  <si>
    <t>Slovakian crown</t>
  </si>
  <si>
    <t>THB</t>
  </si>
  <si>
    <t>Thai baht</t>
  </si>
  <si>
    <t>TND</t>
  </si>
  <si>
    <t>Tunisian dinar</t>
  </si>
  <si>
    <t>TRY</t>
  </si>
  <si>
    <t>Turkish lira</t>
  </si>
  <si>
    <t>TWD</t>
  </si>
  <si>
    <t>Taiwanese dollar</t>
  </si>
  <si>
    <t>UAH</t>
  </si>
  <si>
    <t>Ukrainian hryvnia</t>
  </si>
  <si>
    <t>VND</t>
  </si>
  <si>
    <t>Vietnamese dong</t>
  </si>
  <si>
    <t>ZAR</t>
  </si>
  <si>
    <t>South African rand</t>
  </si>
  <si>
    <t>3.0</t>
  </si>
  <si>
    <t>ID</t>
  </si>
  <si>
    <t>Renamed the Columns M3 and M4</t>
  </si>
  <si>
    <t>Added a Usage column</t>
  </si>
  <si>
    <t>Customer can import calculation designation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</si>
</sst>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quot;€&quot;#,##0_);[Red]\(&quot;€&quot;#,##0\)"/>
    <numFmt numFmtId="165" formatCode="_-* #,##0.00\ _€_-;\-* #,##0.00\ _€_-;_-* &quot;-&quot;??\ _€_-;_-@_-"/>
    <numFmt numFmtId="166" formatCode="#,##0_ ;\-#,##0\ "/>
    <numFmt numFmtId="167" formatCode="#,##0.00_ ;\-#,##0.00\ "/>
    <numFmt numFmtId="168" formatCode="0.0%"/>
    <numFmt numFmtId="169" formatCode="_-* #,##0\ _€_-;\-* #,##0\ _€_-;_-* &quot;-&quot;??\ _€_-;_-@_-"/>
    <numFmt numFmtId="170" formatCode="0.0"/>
    <numFmt numFmtId="171" formatCode="0.000"/>
    <numFmt numFmtId="172" formatCode="0.0000"/>
    <numFmt numFmtId="173" formatCode="_-* #,##0.0000\ _€_-;\-* #,##0.0000\ _€_-;_-* &quot;-&quot;??\ _€_-;_-@_-"/>
    <numFmt numFmtId="174" formatCode="#,##0.0000_ ;\-#,##0.0000\ "/>
  </numFmts>
  <fonts count="39" x14ac:knownFonts="1">
    <font>
      <sz val="11"/>
      <color theme="1"/>
      <name val="Calibri"/>
      <family val="2"/>
      <scheme val="minor"/>
    </font>
    <font>
      <b/>
      <sz val="18"/>
      <color theme="1"/>
      <name val="Calibri"/>
      <family val="2"/>
      <scheme val="minor"/>
    </font>
    <font>
      <b/>
      <sz val="9"/>
      <color theme="1"/>
      <name val="Calibri"/>
      <family val="2"/>
      <scheme val="minor"/>
    </font>
    <font>
      <sz val="9"/>
      <color theme="1"/>
      <name val="Calibri"/>
      <family val="2"/>
      <scheme val="minor"/>
    </font>
    <font>
      <sz val="11"/>
      <color theme="1"/>
      <name val="Calibri"/>
      <family val="2"/>
      <scheme val="minor"/>
    </font>
    <font>
      <sz val="7"/>
      <color theme="1"/>
      <name val="Calibri"/>
      <family val="2"/>
      <scheme val="minor"/>
    </font>
    <font>
      <sz val="11"/>
      <color rgb="FFFF0000"/>
      <name val="Calibri"/>
      <family val="2"/>
      <scheme val="minor"/>
    </font>
    <font>
      <sz val="9"/>
      <color rgb="FFFF0000"/>
      <name val="Calibri"/>
      <family val="2"/>
      <scheme val="minor"/>
    </font>
    <font>
      <sz val="9"/>
      <name val="Calibri"/>
      <family val="2"/>
      <scheme val="minor"/>
    </font>
    <font>
      <b/>
      <sz val="6"/>
      <color theme="1"/>
      <name val="Calibri"/>
      <family val="2"/>
      <scheme val="minor"/>
    </font>
    <font>
      <sz val="8"/>
      <color rgb="FFFF0000"/>
      <name val="Calibri"/>
      <family val="2"/>
      <scheme val="minor"/>
    </font>
    <font>
      <b/>
      <sz val="9"/>
      <name val="Calibri"/>
      <family val="2"/>
      <scheme val="minor"/>
    </font>
    <font>
      <b/>
      <sz val="14"/>
      <color theme="1"/>
      <name val="Calibri"/>
      <family val="2"/>
      <scheme val="minor"/>
    </font>
    <font>
      <sz val="8"/>
      <color theme="1"/>
      <name val="Calibri"/>
      <family val="2"/>
      <scheme val="minor"/>
    </font>
    <font>
      <b/>
      <sz val="6"/>
      <name val="Calibri"/>
      <family val="2"/>
      <scheme val="minor"/>
    </font>
    <font>
      <b/>
      <sz val="8"/>
      <color theme="1"/>
      <name val="Calibri"/>
      <family val="2"/>
      <scheme val="minor"/>
    </font>
    <font>
      <sz val="8"/>
      <name val="Calibri"/>
      <family val="2"/>
      <scheme val="minor"/>
    </font>
    <font>
      <i/>
      <sz val="11"/>
      <color theme="1"/>
      <name val="Calibri"/>
      <family val="2"/>
      <scheme val="minor"/>
    </font>
    <font>
      <b/>
      <sz val="12"/>
      <color theme="1"/>
      <name val="Calibri"/>
      <family val="2"/>
      <scheme val="minor"/>
    </font>
    <font>
      <sz val="12"/>
      <color theme="1"/>
      <name val="Calibri"/>
      <family val="2"/>
      <scheme val="minor"/>
    </font>
    <font>
      <u/>
      <sz val="9"/>
      <color theme="1"/>
      <name val="Calibri"/>
      <family val="2"/>
      <scheme val="minor"/>
    </font>
    <font>
      <b/>
      <sz val="11"/>
      <color theme="1"/>
      <name val="Calibri"/>
      <family val="2"/>
      <scheme val="minor"/>
    </font>
    <font>
      <b/>
      <sz val="7"/>
      <name val="Calibri"/>
      <family val="2"/>
      <scheme val="minor"/>
    </font>
    <font>
      <sz val="7"/>
      <name val="Calibri"/>
      <family val="2"/>
      <scheme val="minor"/>
    </font>
    <font>
      <sz val="11"/>
      <color theme="0"/>
      <name val="Calibri"/>
      <family val="2"/>
      <scheme val="minor"/>
    </font>
    <font>
      <b/>
      <sz val="20"/>
      <name val="Calibri"/>
      <family val="2"/>
      <scheme val="minor"/>
    </font>
    <font>
      <sz val="14"/>
      <color theme="1"/>
      <name val="Calibri"/>
      <family val="2"/>
      <scheme val="minor"/>
    </font>
    <font>
      <b/>
      <sz val="16"/>
      <color theme="1"/>
      <name val="Calibri"/>
      <family val="2"/>
      <scheme val="minor"/>
    </font>
    <font>
      <sz val="11"/>
      <name val="Calibri"/>
      <family val="2"/>
      <scheme val="minor"/>
    </font>
    <font>
      <b/>
      <sz val="7"/>
      <color theme="1"/>
      <name val="Calibri"/>
      <family val="2"/>
      <scheme val="minor"/>
    </font>
    <font>
      <sz val="9"/>
      <color theme="0"/>
      <name val="Calibri"/>
      <family val="2"/>
      <scheme val="minor"/>
    </font>
    <font>
      <sz val="8"/>
      <color theme="0"/>
      <name val="Calibri"/>
      <family val="2"/>
      <scheme val="minor"/>
    </font>
    <font>
      <sz val="7"/>
      <color theme="0"/>
      <name val="Calibri"/>
      <family val="2"/>
      <scheme val="minor"/>
    </font>
    <font>
      <b/>
      <sz val="11"/>
      <color theme="0"/>
      <name val="Calibri"/>
      <family val="2"/>
      <scheme val="minor"/>
    </font>
    <font>
      <sz val="11"/>
      <color rgb="FFFFC000"/>
      <name val="Calibri"/>
      <family val="2"/>
      <scheme val="minor"/>
    </font>
    <font>
      <b/>
      <sz val="11"/>
      <name val="Calibri"/>
      <family val="2"/>
      <scheme val="minor"/>
    </font>
    <font>
      <b/>
      <sz val="11"/>
      <color rgb="FFFF0000"/>
      <name val="Calibri"/>
      <family val="2"/>
      <scheme val="minor"/>
    </font>
    <font>
      <sz val="11"/>
      <color theme="9"/>
      <name val="Calibri"/>
      <family val="2"/>
      <scheme val="minor"/>
    </font>
    <font>
      <b/>
      <sz val="12"/>
      <name val="Calibri"/>
      <family val="2"/>
      <scheme val="minor"/>
    </font>
  </fonts>
  <fills count="14">
    <fill>
      <patternFill patternType="none"/>
    </fill>
    <fill>
      <patternFill patternType="gray125"/>
    </fill>
    <fill>
      <patternFill patternType="solid">
        <fgColor theme="8" tint="0.39994506668294322"/>
        <bgColor indexed="64"/>
      </patternFill>
    </fill>
    <fill>
      <patternFill patternType="solid">
        <fgColor theme="8" tint="0.79998168889431442"/>
        <bgColor indexed="64"/>
      </patternFill>
    </fill>
    <fill>
      <patternFill patternType="solid">
        <fgColor theme="0"/>
        <bgColor indexed="64"/>
      </patternFill>
    </fill>
    <fill>
      <patternFill patternType="solid">
        <fgColor rgb="FFDAEEF3"/>
        <bgColor indexed="64"/>
      </patternFill>
    </fill>
    <fill>
      <patternFill patternType="solid">
        <fgColor rgb="FF005F87"/>
        <bgColor indexed="64"/>
      </patternFill>
    </fill>
    <fill>
      <patternFill patternType="solid">
        <fgColor rgb="FF55A0B9"/>
        <bgColor indexed="64"/>
      </patternFill>
    </fill>
    <fill>
      <patternFill patternType="solid">
        <fgColor rgb="FFAFD7E1"/>
        <bgColor indexed="64"/>
      </patternFill>
    </fill>
    <fill>
      <patternFill patternType="solid">
        <fgColor theme="1"/>
        <bgColor indexed="64"/>
      </patternFill>
    </fill>
    <fill>
      <patternFill patternType="solid">
        <fgColor rgb="FF0070C0"/>
        <bgColor indexed="64"/>
      </patternFill>
    </fill>
    <fill>
      <patternFill patternType="solid">
        <fgColor rgb="FF00B050"/>
        <bgColor indexed="64"/>
      </patternFill>
    </fill>
    <fill>
      <patternFill patternType="solid">
        <fgColor theme="8" tint="0.39997558519241921"/>
        <bgColor indexed="64"/>
      </patternFill>
    </fill>
    <fill>
      <patternFill patternType="solid">
        <fgColor rgb="FFFFFFE0"/>
        <bgColor indexed="64"/>
      </patternFill>
    </fill>
  </fills>
  <borders count="2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hair">
        <color indexed="64"/>
      </top>
      <bottom style="hair">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top style="hair">
        <color indexed="64"/>
      </top>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left style="hair">
        <color indexed="64"/>
      </left>
      <right/>
      <top/>
      <bottom/>
      <diagonal/>
    </border>
    <border>
      <left/>
      <right/>
      <top style="hair">
        <color indexed="64"/>
      </top>
      <bottom style="thin">
        <color indexed="64"/>
      </bottom>
      <diagonal/>
    </border>
    <border>
      <left/>
      <right style="thin">
        <color indexed="64"/>
      </right>
      <top style="medium">
        <color indexed="64"/>
      </top>
      <bottom style="hair">
        <color indexed="64"/>
      </bottom>
      <diagonal/>
    </border>
    <border>
      <left/>
      <right style="thin">
        <color indexed="64"/>
      </right>
      <top style="hair">
        <color indexed="64"/>
      </top>
      <bottom style="medium">
        <color indexed="64"/>
      </bottom>
      <diagonal/>
    </border>
    <border>
      <left style="medium">
        <color indexed="64"/>
      </left>
      <right style="hair">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hair">
        <color auto="1"/>
      </left>
      <right style="hair">
        <color auto="1"/>
      </right>
      <top style="hair">
        <color auto="1"/>
      </top>
      <bottom style="hair">
        <color auto="1"/>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top style="medium">
        <color indexed="64"/>
      </top>
      <bottom style="hair">
        <color indexed="64"/>
      </bottom>
      <diagonal/>
    </border>
    <border>
      <left/>
      <right style="hair">
        <color indexed="64"/>
      </right>
      <top/>
      <bottom/>
      <diagonal/>
    </border>
    <border>
      <left style="medium">
        <color indexed="64"/>
      </left>
      <right style="medium">
        <color indexed="64"/>
      </right>
      <top/>
      <bottom/>
      <diagonal/>
    </border>
    <border>
      <left style="thin">
        <color indexed="64"/>
      </left>
      <right/>
      <top/>
      <bottom/>
      <diagonal/>
    </border>
    <border>
      <left style="thin">
        <color indexed="64"/>
      </left>
      <right/>
      <top/>
      <bottom style="medium">
        <color indexed="64"/>
      </bottom>
      <diagonal/>
    </border>
    <border>
      <left/>
      <right style="hair">
        <color indexed="64"/>
      </right>
      <top style="hair">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hair">
        <color auto="1"/>
      </left>
      <right style="hair">
        <color auto="1"/>
      </right>
      <top style="hair">
        <color auto="1"/>
      </top>
      <bottom/>
      <diagonal/>
    </border>
    <border>
      <left style="hair">
        <color indexed="64"/>
      </left>
      <right/>
      <top style="medium">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auto="1"/>
      </left>
      <right/>
      <top style="hair">
        <color auto="1"/>
      </top>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bottom/>
      <diagonal/>
    </border>
    <border>
      <left style="medium">
        <color indexed="64"/>
      </left>
      <right style="hair">
        <color auto="1"/>
      </right>
      <top style="hair">
        <color indexed="64"/>
      </top>
      <bottom style="hair">
        <color indexed="64"/>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style="hair">
        <color auto="1"/>
      </right>
      <top style="thin">
        <color auto="1"/>
      </top>
      <bottom/>
      <diagonal/>
    </border>
    <border>
      <left style="hair">
        <color auto="1"/>
      </left>
      <right/>
      <top style="thin">
        <color auto="1"/>
      </top>
      <bottom style="hair">
        <color auto="1"/>
      </bottom>
      <diagonal/>
    </border>
    <border>
      <left/>
      <right style="hair">
        <color auto="1"/>
      </right>
      <top style="thin">
        <color auto="1"/>
      </top>
      <bottom style="hair">
        <color auto="1"/>
      </bottom>
      <diagonal/>
    </border>
    <border>
      <left style="hair">
        <color auto="1"/>
      </left>
      <right style="thin">
        <color auto="1"/>
      </right>
      <top style="hair">
        <color auto="1"/>
      </top>
      <bottom/>
      <diagonal/>
    </border>
    <border>
      <left style="hair">
        <color indexed="64"/>
      </left>
      <right/>
      <top style="thin">
        <color indexed="64"/>
      </top>
      <bottom/>
      <diagonal/>
    </border>
    <border>
      <left style="thin">
        <color auto="1"/>
      </left>
      <right style="hair">
        <color auto="1"/>
      </right>
      <top style="hair">
        <color auto="1"/>
      </top>
      <bottom/>
      <diagonal/>
    </border>
    <border>
      <left style="thin">
        <color auto="1"/>
      </left>
      <right style="hair">
        <color auto="1"/>
      </right>
      <top/>
      <bottom style="hair">
        <color auto="1"/>
      </bottom>
      <diagonal/>
    </border>
    <border>
      <left style="thin">
        <color auto="1"/>
      </left>
      <right style="hair">
        <color auto="1"/>
      </right>
      <top/>
      <bottom/>
      <diagonal/>
    </border>
    <border>
      <left style="medium">
        <color indexed="64"/>
      </left>
      <right style="medium">
        <color auto="1"/>
      </right>
      <top style="medium">
        <color indexed="64"/>
      </top>
      <bottom style="thin">
        <color indexed="64"/>
      </bottom>
      <diagonal/>
    </border>
    <border>
      <left style="medium">
        <color indexed="64"/>
      </left>
      <right style="medium">
        <color auto="1"/>
      </right>
      <top style="thin">
        <color auto="1"/>
      </top>
      <bottom style="hair">
        <color auto="1"/>
      </bottom>
      <diagonal/>
    </border>
    <border>
      <left style="medium">
        <color indexed="64"/>
      </left>
      <right style="medium">
        <color auto="1"/>
      </right>
      <top style="hair">
        <color auto="1"/>
      </top>
      <bottom style="hair">
        <color auto="1"/>
      </bottom>
      <diagonal/>
    </border>
    <border>
      <left style="medium">
        <color indexed="64"/>
      </left>
      <right style="medium">
        <color auto="1"/>
      </right>
      <top style="hair">
        <color auto="1"/>
      </top>
      <bottom style="medium">
        <color indexed="64"/>
      </bottom>
      <diagonal/>
    </border>
    <border>
      <left style="medium">
        <color indexed="64"/>
      </left>
      <right/>
      <top style="hair">
        <color auto="1"/>
      </top>
      <bottom style="hair">
        <color auto="1"/>
      </bottom>
      <diagonal/>
    </border>
    <border>
      <left style="medium">
        <color indexed="64"/>
      </left>
      <right style="medium">
        <color auto="1"/>
      </right>
      <top style="hair">
        <color auto="1"/>
      </top>
      <bottom/>
      <diagonal/>
    </border>
    <border>
      <left/>
      <right style="hair">
        <color auto="1"/>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hair">
        <color indexed="64"/>
      </bottom>
      <diagonal/>
    </border>
    <border>
      <left/>
      <right style="thin">
        <color indexed="64"/>
      </right>
      <top style="hair">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diagonal/>
    </border>
    <border>
      <left style="hair">
        <color auto="1"/>
      </left>
      <right style="hair">
        <color auto="1"/>
      </right>
      <top/>
      <bottom style="hair">
        <color auto="1"/>
      </bottom>
      <diagonal/>
    </border>
    <border>
      <left style="thin">
        <color indexed="64"/>
      </left>
      <right/>
      <top style="medium">
        <color indexed="64"/>
      </top>
      <bottom/>
      <diagonal/>
    </border>
    <border>
      <left style="thin">
        <color indexed="64"/>
      </left>
      <right/>
      <top style="hair">
        <color indexed="64"/>
      </top>
      <bottom style="hair">
        <color indexed="64"/>
      </bottom>
      <diagonal/>
    </border>
    <border>
      <left style="medium">
        <color indexed="64"/>
      </left>
      <right style="medium">
        <color indexed="64"/>
      </right>
      <top style="medium">
        <color indexed="64"/>
      </top>
      <bottom/>
      <diagonal/>
    </border>
    <border>
      <left style="hair">
        <color auto="1"/>
      </left>
      <right style="hair">
        <color auto="1"/>
      </right>
      <top/>
      <bottom/>
      <diagonal/>
    </border>
    <border>
      <left style="thin">
        <color indexed="64"/>
      </left>
      <right style="hair">
        <color auto="1"/>
      </right>
      <top style="thin">
        <color indexed="64"/>
      </top>
      <bottom style="thin">
        <color auto="1"/>
      </bottom>
      <diagonal/>
    </border>
    <border>
      <left style="thin">
        <color indexed="64"/>
      </left>
      <right style="thin">
        <color indexed="64"/>
      </right>
      <top style="hair">
        <color auto="1"/>
      </top>
      <bottom style="thin">
        <color indexed="64"/>
      </bottom>
      <diagonal/>
    </border>
    <border>
      <left style="hair">
        <color auto="1"/>
      </left>
      <right style="hair">
        <color auto="1"/>
      </right>
      <top style="thin">
        <color indexed="64"/>
      </top>
      <bottom style="thin">
        <color indexed="64"/>
      </bottom>
      <diagonal/>
    </border>
    <border>
      <left style="medium">
        <color indexed="64"/>
      </left>
      <right/>
      <top style="thin">
        <color indexed="64"/>
      </top>
      <bottom/>
      <diagonal/>
    </border>
    <border>
      <left style="thin">
        <color indexed="64"/>
      </left>
      <right/>
      <top style="hair">
        <color indexed="64"/>
      </top>
      <bottom style="medium">
        <color indexed="64"/>
      </bottom>
      <diagonal/>
    </border>
    <border>
      <left style="medium">
        <color indexed="64"/>
      </left>
      <right style="medium">
        <color auto="1"/>
      </right>
      <top/>
      <bottom style="hair">
        <color auto="1"/>
      </bottom>
      <diagonal/>
    </border>
    <border>
      <left style="medium">
        <color indexed="64"/>
      </left>
      <right style="hair">
        <color auto="1"/>
      </right>
      <top style="hair">
        <color indexed="64"/>
      </top>
      <bottom/>
      <diagonal/>
    </border>
    <border>
      <left style="thin">
        <color indexed="64"/>
      </left>
      <right/>
      <top style="medium">
        <color indexed="64"/>
      </top>
      <bottom style="hair">
        <color indexed="64"/>
      </bottom>
      <diagonal/>
    </border>
    <border>
      <left style="thin">
        <color indexed="64"/>
      </left>
      <right style="thin">
        <color indexed="64"/>
      </right>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medium">
        <color indexed="64"/>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rgb="FF0070C0"/>
      </left>
      <right/>
      <top style="hair">
        <color indexed="64"/>
      </top>
      <bottom/>
      <diagonal/>
    </border>
    <border>
      <left style="hair">
        <color indexed="64"/>
      </left>
      <right style="medium">
        <color rgb="FF0070C0"/>
      </right>
      <top style="hair">
        <color indexed="64"/>
      </top>
      <bottom/>
      <diagonal/>
    </border>
    <border>
      <left style="medium">
        <color rgb="FF0070C0"/>
      </left>
      <right/>
      <top/>
      <bottom/>
      <diagonal/>
    </border>
    <border>
      <left style="hair">
        <color indexed="64"/>
      </left>
      <right style="medium">
        <color rgb="FF0070C0"/>
      </right>
      <top/>
      <bottom/>
      <diagonal/>
    </border>
    <border>
      <left style="hair">
        <color indexed="64"/>
      </left>
      <right style="medium">
        <color rgb="FF0070C0"/>
      </right>
      <top/>
      <bottom style="thin">
        <color indexed="64"/>
      </bottom>
      <diagonal/>
    </border>
    <border>
      <left style="medium">
        <color rgb="FF0070C0"/>
      </left>
      <right/>
      <top style="thin">
        <color indexed="64"/>
      </top>
      <bottom style="thin">
        <color indexed="64"/>
      </bottom>
      <diagonal/>
    </border>
    <border>
      <left style="hair">
        <color indexed="64"/>
      </left>
      <right style="medium">
        <color rgb="FF0070C0"/>
      </right>
      <top style="thin">
        <color indexed="64"/>
      </top>
      <bottom style="thin">
        <color indexed="64"/>
      </bottom>
      <diagonal/>
    </border>
    <border>
      <left style="medium">
        <color rgb="FF0070C0"/>
      </left>
      <right/>
      <top style="thin">
        <color indexed="64"/>
      </top>
      <bottom style="medium">
        <color rgb="FF0070C0"/>
      </bottom>
      <diagonal/>
    </border>
    <border>
      <left style="hair">
        <color indexed="64"/>
      </left>
      <right/>
      <top style="thin">
        <color indexed="64"/>
      </top>
      <bottom style="medium">
        <color rgb="FF0070C0"/>
      </bottom>
      <diagonal/>
    </border>
    <border>
      <left style="hair">
        <color indexed="64"/>
      </left>
      <right style="medium">
        <color rgb="FF0070C0"/>
      </right>
      <top style="thin">
        <color indexed="64"/>
      </top>
      <bottom style="medium">
        <color rgb="FF0070C0"/>
      </bottom>
      <diagonal/>
    </border>
    <border>
      <left style="medium">
        <color rgb="FF0070C0"/>
      </left>
      <right/>
      <top style="medium">
        <color rgb="FF0070C0"/>
      </top>
      <bottom/>
      <diagonal/>
    </border>
    <border>
      <left/>
      <right/>
      <top style="medium">
        <color rgb="FF0070C0"/>
      </top>
      <bottom/>
      <diagonal/>
    </border>
    <border>
      <left style="medium">
        <color rgb="FF0070C0"/>
      </left>
      <right/>
      <top style="medium">
        <color rgb="FF0070C0"/>
      </top>
      <bottom style="hair">
        <color indexed="64"/>
      </bottom>
      <diagonal/>
    </border>
    <border>
      <left style="hair">
        <color indexed="64"/>
      </left>
      <right/>
      <top style="medium">
        <color rgb="FF0070C0"/>
      </top>
      <bottom style="hair">
        <color indexed="64"/>
      </bottom>
      <diagonal/>
    </border>
    <border>
      <left/>
      <right style="hair">
        <color indexed="64"/>
      </right>
      <top style="medium">
        <color rgb="FF0070C0"/>
      </top>
      <bottom style="hair">
        <color indexed="64"/>
      </bottom>
      <diagonal/>
    </border>
    <border>
      <left style="hair">
        <color indexed="64"/>
      </left>
      <right style="medium">
        <color rgb="FF0070C0"/>
      </right>
      <top style="medium">
        <color rgb="FF0070C0"/>
      </top>
      <bottom style="hair">
        <color indexed="64"/>
      </bottom>
      <diagonal/>
    </border>
    <border>
      <left style="medium">
        <color rgb="FF0070C0"/>
      </left>
      <right/>
      <top/>
      <bottom style="medium">
        <color rgb="FF0070C0"/>
      </bottom>
      <diagonal/>
    </border>
    <border>
      <left/>
      <right/>
      <top/>
      <bottom style="medium">
        <color rgb="FF0070C0"/>
      </bottom>
      <diagonal/>
    </border>
    <border>
      <left/>
      <right/>
      <top style="medium">
        <color rgb="FF0070C0"/>
      </top>
      <bottom style="hair">
        <color indexed="64"/>
      </bottom>
      <diagonal/>
    </border>
    <border>
      <left/>
      <right/>
      <top style="thin">
        <color indexed="64"/>
      </top>
      <bottom style="medium">
        <color rgb="FF0070C0"/>
      </bottom>
      <diagonal/>
    </border>
    <border>
      <left style="hair">
        <color indexed="64"/>
      </left>
      <right style="hair">
        <color indexed="64"/>
      </right>
      <top style="medium">
        <color rgb="FF0070C0"/>
      </top>
      <bottom style="hair">
        <color indexed="64"/>
      </bottom>
      <diagonal/>
    </border>
    <border>
      <left style="hair">
        <color indexed="64"/>
      </left>
      <right style="hair">
        <color indexed="64"/>
      </right>
      <top style="thin">
        <color indexed="64"/>
      </top>
      <bottom style="medium">
        <color rgb="FF0070C0"/>
      </bottom>
      <diagonal/>
    </border>
    <border>
      <left/>
      <right style="medium">
        <color rgb="FF0070C0"/>
      </right>
      <top style="medium">
        <color rgb="FF0070C0"/>
      </top>
      <bottom style="hair">
        <color indexed="64"/>
      </bottom>
      <diagonal/>
    </border>
    <border>
      <left style="hair">
        <color indexed="64"/>
      </left>
      <right style="medium">
        <color rgb="FF0070C0"/>
      </right>
      <top style="hair">
        <color indexed="64"/>
      </top>
      <bottom style="hair">
        <color indexed="64"/>
      </bottom>
      <diagonal/>
    </border>
    <border>
      <left style="hair">
        <color indexed="64"/>
      </left>
      <right style="hair">
        <color indexed="64"/>
      </right>
      <top style="hair">
        <color indexed="64"/>
      </top>
      <bottom style="medium">
        <color rgb="FF0070C0"/>
      </bottom>
      <diagonal/>
    </border>
    <border>
      <left style="hair">
        <color indexed="64"/>
      </left>
      <right/>
      <top style="hair">
        <color indexed="64"/>
      </top>
      <bottom style="medium">
        <color rgb="FF0070C0"/>
      </bottom>
      <diagonal/>
    </border>
    <border>
      <left style="hair">
        <color indexed="64"/>
      </left>
      <right/>
      <top/>
      <bottom style="medium">
        <color rgb="FF0070C0"/>
      </bottom>
      <diagonal/>
    </border>
    <border>
      <left style="hair">
        <color indexed="64"/>
      </left>
      <right style="medium">
        <color rgb="FF0070C0"/>
      </right>
      <top style="hair">
        <color indexed="64"/>
      </top>
      <bottom style="medium">
        <color rgb="FF0070C0"/>
      </bottom>
      <diagonal/>
    </border>
    <border>
      <left/>
      <right style="medium">
        <color rgb="FF0070C0"/>
      </right>
      <top/>
      <bottom/>
      <diagonal/>
    </border>
    <border>
      <left style="medium">
        <color rgb="FF0070C0"/>
      </left>
      <right style="hair">
        <color indexed="64"/>
      </right>
      <top/>
      <bottom style="thin">
        <color indexed="64"/>
      </bottom>
      <diagonal/>
    </border>
    <border>
      <left/>
      <right style="medium">
        <color rgb="FF0070C0"/>
      </right>
      <top/>
      <bottom style="thin">
        <color indexed="64"/>
      </bottom>
      <diagonal/>
    </border>
    <border>
      <left/>
      <right style="medium">
        <color rgb="FF0070C0"/>
      </right>
      <top style="medium">
        <color rgb="FF0070C0"/>
      </top>
      <bottom/>
      <diagonal/>
    </border>
    <border>
      <left/>
      <right style="medium">
        <color rgb="FF0070C0"/>
      </right>
      <top/>
      <bottom style="medium">
        <color rgb="FF0070C0"/>
      </bottom>
      <diagonal/>
    </border>
    <border>
      <left style="medium">
        <color rgb="FF0070C0"/>
      </left>
      <right style="hair">
        <color indexed="64"/>
      </right>
      <top/>
      <bottom/>
      <diagonal/>
    </border>
    <border>
      <left style="medium">
        <color rgb="FF0070C0"/>
      </left>
      <right/>
      <top/>
      <bottom style="thin">
        <color indexed="64"/>
      </bottom>
      <diagonal/>
    </border>
    <border>
      <left style="hair">
        <color indexed="64"/>
      </left>
      <right style="medium">
        <color rgb="FF0070C0"/>
      </right>
      <top style="thin">
        <color indexed="64"/>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style="medium">
        <color rgb="FF0070C0"/>
      </right>
      <top/>
      <bottom style="medium">
        <color theme="1"/>
      </bottom>
      <diagonal/>
    </border>
    <border>
      <left style="medium">
        <color rgb="FF00B050"/>
      </left>
      <right/>
      <top style="medium">
        <color rgb="FF00B050"/>
      </top>
      <bottom style="hair">
        <color indexed="64"/>
      </bottom>
      <diagonal/>
    </border>
    <border>
      <left/>
      <right style="medium">
        <color rgb="FF00B050"/>
      </right>
      <top style="medium">
        <color rgb="FF00B050"/>
      </top>
      <bottom/>
      <diagonal/>
    </border>
    <border>
      <left style="medium">
        <color rgb="FF00B050"/>
      </left>
      <right/>
      <top style="hair">
        <color auto="1"/>
      </top>
      <bottom/>
      <diagonal/>
    </border>
    <border>
      <left style="hair">
        <color indexed="64"/>
      </left>
      <right style="medium">
        <color rgb="FF00B050"/>
      </right>
      <top style="hair">
        <color indexed="64"/>
      </top>
      <bottom/>
      <diagonal/>
    </border>
    <border>
      <left style="medium">
        <color rgb="FF00B050"/>
      </left>
      <right/>
      <top/>
      <bottom/>
      <diagonal/>
    </border>
    <border>
      <left style="hair">
        <color indexed="64"/>
      </left>
      <right style="medium">
        <color rgb="FF00B050"/>
      </right>
      <top/>
      <bottom/>
      <diagonal/>
    </border>
    <border>
      <left style="medium">
        <color rgb="FF00B050"/>
      </left>
      <right style="hair">
        <color indexed="64"/>
      </right>
      <top/>
      <bottom style="thin">
        <color indexed="64"/>
      </bottom>
      <diagonal/>
    </border>
    <border>
      <left style="hair">
        <color indexed="64"/>
      </left>
      <right style="medium">
        <color rgb="FF00B050"/>
      </right>
      <top/>
      <bottom style="thin">
        <color indexed="64"/>
      </bottom>
      <diagonal/>
    </border>
    <border>
      <left style="medium">
        <color rgb="FF00B050"/>
      </left>
      <right/>
      <top style="thin">
        <color indexed="64"/>
      </top>
      <bottom style="thin">
        <color indexed="64"/>
      </bottom>
      <diagonal/>
    </border>
    <border>
      <left style="hair">
        <color indexed="64"/>
      </left>
      <right style="medium">
        <color rgb="FF00B050"/>
      </right>
      <top style="thin">
        <color indexed="64"/>
      </top>
      <bottom style="thin">
        <color indexed="64"/>
      </bottom>
      <diagonal/>
    </border>
    <border>
      <left style="medium">
        <color rgb="FF00B050"/>
      </left>
      <right/>
      <top style="thin">
        <color indexed="64"/>
      </top>
      <bottom style="medium">
        <color rgb="FF00B050"/>
      </bottom>
      <diagonal/>
    </border>
    <border>
      <left style="hair">
        <color indexed="64"/>
      </left>
      <right style="medium">
        <color rgb="FF00B050"/>
      </right>
      <top style="thin">
        <color indexed="64"/>
      </top>
      <bottom style="medium">
        <color rgb="FF00B050"/>
      </bottom>
      <diagonal/>
    </border>
    <border>
      <left/>
      <right style="medium">
        <color rgb="FF00B050"/>
      </right>
      <top style="medium">
        <color rgb="FF00B050"/>
      </top>
      <bottom style="hair">
        <color indexed="64"/>
      </bottom>
      <diagonal/>
    </border>
    <border>
      <left style="medium">
        <color rgb="FF00B050"/>
      </left>
      <right/>
      <top style="hair">
        <color indexed="64"/>
      </top>
      <bottom style="hair">
        <color indexed="64"/>
      </bottom>
      <diagonal/>
    </border>
    <border>
      <left style="hair">
        <color indexed="64"/>
      </left>
      <right style="medium">
        <color rgb="FF00B050"/>
      </right>
      <top style="hair">
        <color indexed="64"/>
      </top>
      <bottom style="hair">
        <color indexed="64"/>
      </bottom>
      <diagonal/>
    </border>
    <border>
      <left/>
      <right style="medium">
        <color rgb="FF00B050"/>
      </right>
      <top/>
      <bottom/>
      <diagonal/>
    </border>
    <border>
      <left style="medium">
        <color rgb="FF00B050"/>
      </left>
      <right/>
      <top/>
      <bottom style="medium">
        <color rgb="FF00B050"/>
      </bottom>
      <diagonal/>
    </border>
    <border>
      <left/>
      <right style="medium">
        <color rgb="FF00B050"/>
      </right>
      <top/>
      <bottom style="medium">
        <color rgb="FF00B050"/>
      </bottom>
      <diagonal/>
    </border>
    <border>
      <left style="medium">
        <color rgb="FF00B050"/>
      </left>
      <right style="hair">
        <color indexed="64"/>
      </right>
      <top/>
      <bottom/>
      <diagonal/>
    </border>
    <border>
      <left style="hair">
        <color indexed="64"/>
      </left>
      <right/>
      <top style="medium">
        <color rgb="FF00B050"/>
      </top>
      <bottom style="hair">
        <color indexed="64"/>
      </bottom>
      <diagonal/>
    </border>
    <border>
      <left/>
      <right style="hair">
        <color indexed="64"/>
      </right>
      <top style="medium">
        <color rgb="FF00B050"/>
      </top>
      <bottom style="hair">
        <color indexed="64"/>
      </bottom>
      <diagonal/>
    </border>
    <border>
      <left style="hair">
        <color indexed="64"/>
      </left>
      <right style="medium">
        <color rgb="FF00B050"/>
      </right>
      <top style="medium">
        <color rgb="FF00B050"/>
      </top>
      <bottom style="hair">
        <color indexed="64"/>
      </bottom>
      <diagonal/>
    </border>
    <border>
      <left style="medium">
        <color rgb="FF00B050"/>
      </left>
      <right style="hair">
        <color auto="1"/>
      </right>
      <top style="hair">
        <color auto="1"/>
      </top>
      <bottom/>
      <diagonal/>
    </border>
    <border>
      <left style="hair">
        <color indexed="64"/>
      </left>
      <right/>
      <top style="thin">
        <color indexed="64"/>
      </top>
      <bottom style="medium">
        <color rgb="FF00B050"/>
      </bottom>
      <diagonal/>
    </border>
    <border>
      <left/>
      <right/>
      <top/>
      <bottom style="medium">
        <color rgb="FF00B050"/>
      </bottom>
      <diagonal/>
    </border>
    <border>
      <left style="medium">
        <color rgb="FF00B050"/>
      </left>
      <right/>
      <top style="medium">
        <color rgb="FF00B050"/>
      </top>
      <bottom/>
      <diagonal/>
    </border>
    <border>
      <left/>
      <right/>
      <top style="medium">
        <color rgb="FF00B050"/>
      </top>
      <bottom/>
      <diagonal/>
    </border>
    <border>
      <left/>
      <right style="medium">
        <color indexed="64"/>
      </right>
      <top/>
      <bottom style="thin">
        <color indexed="64"/>
      </bottom>
      <diagonal/>
    </border>
    <border>
      <left/>
      <right style="thin">
        <color indexed="64"/>
      </right>
      <top/>
      <bottom style="hair">
        <color indexed="64"/>
      </bottom>
      <diagonal/>
    </border>
    <border>
      <left style="thin">
        <color indexed="64"/>
      </left>
      <right/>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indexed="64"/>
      </bottom>
      <diagonal/>
    </border>
    <border>
      <left style="hair">
        <color theme="1"/>
      </left>
      <right style="hair">
        <color indexed="64"/>
      </right>
      <top style="medium">
        <color rgb="FF00B050"/>
      </top>
      <bottom style="hair">
        <color indexed="64"/>
      </bottom>
      <diagonal/>
    </border>
    <border>
      <left style="medium">
        <color rgb="FF0070C0"/>
      </left>
      <right style="hair">
        <color auto="1"/>
      </right>
      <top style="medium">
        <color rgb="FF0070C0"/>
      </top>
      <bottom style="hair">
        <color indexed="64"/>
      </bottom>
      <diagonal/>
    </border>
    <border>
      <left/>
      <right style="thin">
        <color indexed="64"/>
      </right>
      <top/>
      <bottom style="medium">
        <color indexed="64"/>
      </bottom>
      <diagonal/>
    </border>
    <border>
      <left style="thin">
        <color rgb="FFD3D3D3"/>
      </left>
      <right style="thin">
        <color rgb="FFD3D3D3"/>
      </right>
      <top style="thin">
        <color rgb="FFD3D3D3"/>
      </top>
      <bottom style="thin">
        <color rgb="FFD3D3D3"/>
      </bottom>
      <diagonal/>
    </border>
    <border>
      <left style="hair">
        <color indexed="64"/>
      </left>
      <right style="medium">
        <color rgb="FF0070C0"/>
      </right>
      <top style="thin">
        <color indexed="64"/>
      </top>
      <bottom style="medium">
        <color theme="3" tint="0.39994506668294322"/>
      </bottom>
      <diagonal/>
    </border>
    <border>
      <left style="hair">
        <color indexed="64"/>
      </left>
      <right/>
      <top style="thin">
        <color indexed="64"/>
      </top>
      <bottom style="medium">
        <color theme="3" tint="0.39994506668294322"/>
      </bottom>
      <diagonal/>
    </border>
  </borders>
  <cellStyleXfs count="4">
    <xf numFmtId="0" fontId="0" fillId="0" borderId="0"/>
    <xf numFmtId="9" fontId="4" fillId="0" borderId="0" applyFont="0" applyFill="0" applyBorder="0" applyAlignment="0" applyProtection="0"/>
    <xf numFmtId="165" fontId="4" fillId="0" borderId="0" applyFont="0" applyFill="0" applyBorder="0" applyAlignment="0" applyProtection="0"/>
    <xf numFmtId="49" fontId="4" fillId="13" borderId="207" applyAlignment="0" applyProtection="0"/>
  </cellStyleXfs>
  <cellXfs count="906">
    <xf numFmtId="0" fontId="0" fillId="0" borderId="0" xfId="0"/>
    <xf numFmtId="0" fontId="0" fillId="0" borderId="0" xfId="0" applyAlignment="1">
      <alignment vertical="center"/>
    </xf>
    <xf numFmtId="0" fontId="2" fillId="0" borderId="0" xfId="0" applyFont="1"/>
    <xf numFmtId="0" fontId="2" fillId="0" borderId="7" xfId="0" applyFont="1" applyBorder="1"/>
    <xf numFmtId="0" fontId="0" fillId="0" borderId="3" xfId="0" applyBorder="1"/>
    <xf numFmtId="0" fontId="3" fillId="0" borderId="25" xfId="0" applyFont="1" applyBorder="1"/>
    <xf numFmtId="0" fontId="2" fillId="0" borderId="4" xfId="0" applyFont="1" applyBorder="1"/>
    <xf numFmtId="0" fontId="0" fillId="0" borderId="12" xfId="0" applyBorder="1"/>
    <xf numFmtId="0" fontId="2" fillId="0" borderId="12" xfId="0" applyFont="1" applyBorder="1"/>
    <xf numFmtId="0" fontId="3" fillId="0" borderId="0" xfId="0" applyFont="1" applyAlignment="1">
      <alignment horizontal="left"/>
    </xf>
    <xf numFmtId="0" fontId="6" fillId="0" borderId="0" xfId="0" applyFont="1" applyAlignment="1">
      <alignment horizontal="center" vertical="center"/>
    </xf>
    <xf numFmtId="0" fontId="0" fillId="0" borderId="0" xfId="0" applyAlignment="1">
      <alignment horizontal="center" vertical="center"/>
    </xf>
    <xf numFmtId="0" fontId="0" fillId="0" borderId="15" xfId="0" applyBorder="1"/>
    <xf numFmtId="0" fontId="13" fillId="0" borderId="0" xfId="0" applyFont="1" applyAlignment="1">
      <alignment horizontal="right"/>
    </xf>
    <xf numFmtId="0" fontId="13" fillId="0" borderId="0" xfId="0" applyFont="1"/>
    <xf numFmtId="2" fontId="15" fillId="0" borderId="0" xfId="0" applyNumberFormat="1" applyFont="1" applyAlignment="1">
      <alignment horizontal="center" vertical="center" wrapText="1"/>
    </xf>
    <xf numFmtId="2" fontId="13" fillId="0" borderId="0" xfId="0" applyNumberFormat="1" applyFont="1" applyAlignment="1">
      <alignment horizontal="center"/>
    </xf>
    <xf numFmtId="0" fontId="0" fillId="0" borderId="56" xfId="0" applyBorder="1"/>
    <xf numFmtId="0" fontId="13" fillId="0" borderId="70" xfId="0" applyFont="1" applyBorder="1" applyAlignment="1">
      <alignment horizontal="center" vertical="center"/>
    </xf>
    <xf numFmtId="0" fontId="13" fillId="4" borderId="0" xfId="0" applyFont="1" applyFill="1" applyAlignment="1">
      <alignment horizontal="center" vertical="center"/>
    </xf>
    <xf numFmtId="0" fontId="13" fillId="4" borderId="0" xfId="0" applyFont="1" applyFill="1" applyAlignment="1">
      <alignment horizontal="left" vertical="center"/>
    </xf>
    <xf numFmtId="0" fontId="12" fillId="0" borderId="0" xfId="0" applyFont="1"/>
    <xf numFmtId="0" fontId="3" fillId="0" borderId="0" xfId="0" applyFont="1"/>
    <xf numFmtId="0" fontId="3" fillId="0" borderId="0" xfId="0" applyFont="1" applyAlignment="1">
      <alignment horizontal="center"/>
    </xf>
    <xf numFmtId="0" fontId="3" fillId="0" borderId="0" xfId="0" applyFont="1" applyAlignment="1">
      <alignment vertical="center"/>
    </xf>
    <xf numFmtId="0" fontId="3" fillId="0" borderId="0" xfId="0" applyFont="1" applyAlignment="1">
      <alignment horizontal="left" vertical="center" wrapText="1"/>
    </xf>
    <xf numFmtId="0" fontId="19" fillId="4" borderId="62" xfId="0" applyFont="1" applyFill="1" applyBorder="1" applyAlignment="1">
      <alignment horizontal="center" vertical="center"/>
    </xf>
    <xf numFmtId="0" fontId="19" fillId="4" borderId="51" xfId="0" applyFont="1" applyFill="1" applyBorder="1" applyAlignment="1">
      <alignment horizontal="center" vertical="center"/>
    </xf>
    <xf numFmtId="0" fontId="3" fillId="0" borderId="0" xfId="0" applyFont="1" applyAlignment="1">
      <alignment horizontal="left" vertical="center"/>
    </xf>
    <xf numFmtId="0" fontId="19" fillId="4" borderId="75" xfId="0" applyFont="1" applyFill="1" applyBorder="1" applyAlignment="1">
      <alignment horizontal="center" vertical="center"/>
    </xf>
    <xf numFmtId="0" fontId="0" fillId="0" borderId="0" xfId="0" applyAlignment="1">
      <alignment horizontal="center"/>
    </xf>
    <xf numFmtId="0" fontId="2" fillId="0" borderId="0" xfId="0" applyFont="1" applyAlignment="1">
      <alignment vertical="center"/>
    </xf>
    <xf numFmtId="0" fontId="2" fillId="0" borderId="12" xfId="0" applyFont="1" applyBorder="1" applyAlignment="1">
      <alignment vertical="center"/>
    </xf>
    <xf numFmtId="0" fontId="2" fillId="0" borderId="7" xfId="0" applyFont="1" applyBorder="1" applyAlignment="1">
      <alignment vertical="center"/>
    </xf>
    <xf numFmtId="0" fontId="0" fillId="0" borderId="13" xfId="0" applyBorder="1"/>
    <xf numFmtId="0" fontId="2" fillId="0" borderId="0" xfId="0" applyFont="1" applyAlignment="1">
      <alignment horizontal="center"/>
    </xf>
    <xf numFmtId="0" fontId="0" fillId="0" borderId="4" xfId="0" applyBorder="1"/>
    <xf numFmtId="0" fontId="0" fillId="0" borderId="6" xfId="0" applyBorder="1"/>
    <xf numFmtId="0" fontId="0" fillId="0" borderId="7" xfId="0" applyBorder="1"/>
    <xf numFmtId="0" fontId="0" fillId="0" borderId="1" xfId="0" applyBorder="1"/>
    <xf numFmtId="0" fontId="0" fillId="0" borderId="2" xfId="0" applyBorder="1"/>
    <xf numFmtId="0" fontId="0" fillId="0" borderId="5" xfId="0" applyBorder="1"/>
    <xf numFmtId="0" fontId="0" fillId="0" borderId="8" xfId="0" applyBorder="1"/>
    <xf numFmtId="0" fontId="0" fillId="0" borderId="26" xfId="0" applyBorder="1"/>
    <xf numFmtId="0" fontId="0" fillId="0" borderId="27" xfId="0" applyBorder="1"/>
    <xf numFmtId="0" fontId="3" fillId="0" borderId="13" xfId="0" applyFont="1" applyBorder="1"/>
    <xf numFmtId="0" fontId="3" fillId="0" borderId="24" xfId="0" applyFont="1" applyBorder="1"/>
    <xf numFmtId="0" fontId="3" fillId="0" borderId="29" xfId="0" applyFont="1" applyBorder="1"/>
    <xf numFmtId="0" fontId="2" fillId="0" borderId="13" xfId="0" applyFont="1" applyBorder="1"/>
    <xf numFmtId="0" fontId="0" fillId="0" borderId="30" xfId="0" applyBorder="1"/>
    <xf numFmtId="0" fontId="10" fillId="0" borderId="0" xfId="0" applyFont="1"/>
    <xf numFmtId="0" fontId="6" fillId="0" borderId="0" xfId="0" applyFont="1"/>
    <xf numFmtId="0" fontId="0" fillId="0" borderId="24" xfId="0" applyBorder="1"/>
    <xf numFmtId="0" fontId="7" fillId="0" borderId="0" xfId="0" applyFont="1"/>
    <xf numFmtId="0" fontId="3" fillId="0" borderId="49" xfId="0" applyFont="1" applyBorder="1"/>
    <xf numFmtId="0" fontId="0" fillId="0" borderId="10" xfId="0" applyBorder="1"/>
    <xf numFmtId="0" fontId="2" fillId="0" borderId="10" xfId="0" applyFont="1" applyBorder="1" applyAlignment="1">
      <alignment vertical="center"/>
    </xf>
    <xf numFmtId="0" fontId="8" fillId="0" borderId="49" xfId="0" applyFont="1" applyBorder="1"/>
    <xf numFmtId="0" fontId="0" fillId="2" borderId="0" xfId="0" applyFill="1"/>
    <xf numFmtId="0" fontId="3" fillId="2" borderId="0" xfId="0" applyFont="1" applyFill="1"/>
    <xf numFmtId="0" fontId="2" fillId="2" borderId="0" xfId="0" applyFont="1" applyFill="1"/>
    <xf numFmtId="0" fontId="0" fillId="3" borderId="0" xfId="0" applyFill="1"/>
    <xf numFmtId="0" fontId="3" fillId="3" borderId="0" xfId="0" applyFont="1" applyFill="1"/>
    <xf numFmtId="0" fontId="18" fillId="0" borderId="63" xfId="0" applyFont="1" applyBorder="1" applyAlignment="1">
      <alignment horizontal="center" vertical="center"/>
    </xf>
    <xf numFmtId="0" fontId="0" fillId="0" borderId="51" xfId="0" applyBorder="1"/>
    <xf numFmtId="0" fontId="0" fillId="0" borderId="77" xfId="0" applyBorder="1"/>
    <xf numFmtId="0" fontId="0" fillId="0" borderId="78" xfId="0" applyBorder="1"/>
    <xf numFmtId="0" fontId="0" fillId="0" borderId="80" xfId="0" applyBorder="1"/>
    <xf numFmtId="0" fontId="0" fillId="0" borderId="82" xfId="0" applyBorder="1"/>
    <xf numFmtId="0" fontId="0" fillId="0" borderId="83" xfId="0" applyBorder="1"/>
    <xf numFmtId="0" fontId="0" fillId="0" borderId="76" xfId="0" applyBorder="1"/>
    <xf numFmtId="0" fontId="0" fillId="0" borderId="79" xfId="0" applyBorder="1"/>
    <xf numFmtId="0" fontId="0" fillId="0" borderId="44" xfId="0" applyBorder="1" applyAlignment="1">
      <alignment horizontal="center"/>
    </xf>
    <xf numFmtId="0" fontId="21" fillId="0" borderId="0" xfId="0" applyFont="1" applyAlignment="1">
      <alignment horizontal="center"/>
    </xf>
    <xf numFmtId="0" fontId="0" fillId="0" borderId="81" xfId="0" applyBorder="1" applyAlignment="1">
      <alignment horizontal="center" vertical="center"/>
    </xf>
    <xf numFmtId="0" fontId="0" fillId="0" borderId="76" xfId="0" applyBorder="1" applyAlignment="1">
      <alignment horizontal="center"/>
    </xf>
    <xf numFmtId="0" fontId="0" fillId="0" borderId="79" xfId="0" applyBorder="1" applyAlignment="1">
      <alignment horizontal="center"/>
    </xf>
    <xf numFmtId="0" fontId="21" fillId="0" borderId="34" xfId="0" applyFont="1" applyBorder="1"/>
    <xf numFmtId="0" fontId="7" fillId="0" borderId="0" xfId="0" applyFont="1" applyAlignment="1">
      <alignment horizontal="right"/>
    </xf>
    <xf numFmtId="0" fontId="0" fillId="0" borderId="68" xfId="0" applyBorder="1"/>
    <xf numFmtId="0" fontId="0" fillId="0" borderId="87" xfId="0" applyBorder="1"/>
    <xf numFmtId="0" fontId="0" fillId="0" borderId="53" xfId="0" applyBorder="1"/>
    <xf numFmtId="0" fontId="21" fillId="0" borderId="64" xfId="0" applyFont="1" applyBorder="1"/>
    <xf numFmtId="0" fontId="0" fillId="0" borderId="65" xfId="0" applyBorder="1"/>
    <xf numFmtId="0" fontId="0" fillId="0" borderId="60" xfId="0" applyBorder="1"/>
    <xf numFmtId="0" fontId="0" fillId="0" borderId="74" xfId="0" applyBorder="1"/>
    <xf numFmtId="0" fontId="0" fillId="0" borderId="14" xfId="0" applyBorder="1"/>
    <xf numFmtId="0" fontId="0" fillId="0" borderId="16" xfId="0" applyBorder="1"/>
    <xf numFmtId="0" fontId="21" fillId="0" borderId="60" xfId="0" applyFont="1" applyBorder="1"/>
    <xf numFmtId="9" fontId="0" fillId="0" borderId="0" xfId="1" applyFont="1" applyBorder="1"/>
    <xf numFmtId="4" fontId="4" fillId="0" borderId="0" xfId="2" applyNumberFormat="1" applyFont="1" applyBorder="1" applyAlignment="1">
      <alignment horizontal="right"/>
    </xf>
    <xf numFmtId="4" fontId="4" fillId="0" borderId="15" xfId="2" applyNumberFormat="1" applyFont="1" applyBorder="1" applyAlignment="1">
      <alignment horizontal="right"/>
    </xf>
    <xf numFmtId="4" fontId="4" fillId="0" borderId="15" xfId="0" applyNumberFormat="1" applyFont="1" applyBorder="1"/>
    <xf numFmtId="4" fontId="4" fillId="0" borderId="0" xfId="0" applyNumberFormat="1" applyFont="1"/>
    <xf numFmtId="4" fontId="4" fillId="0" borderId="13" xfId="0" applyNumberFormat="1" applyFont="1" applyBorder="1"/>
    <xf numFmtId="170" fontId="0" fillId="0" borderId="0" xfId="1" applyNumberFormat="1" applyFont="1" applyBorder="1"/>
    <xf numFmtId="4" fontId="0" fillId="0" borderId="0" xfId="0" applyNumberFormat="1" applyAlignment="1">
      <alignment horizontal="right"/>
    </xf>
    <xf numFmtId="165" fontId="4" fillId="0" borderId="18" xfId="2" applyFont="1" applyBorder="1" applyAlignment="1">
      <alignment horizontal="right"/>
    </xf>
    <xf numFmtId="0" fontId="19" fillId="4" borderId="52" xfId="0" applyFont="1" applyFill="1" applyBorder="1" applyAlignment="1">
      <alignment horizontal="center" vertical="center"/>
    </xf>
    <xf numFmtId="0" fontId="0" fillId="0" borderId="79" xfId="0" applyBorder="1" applyAlignment="1">
      <alignment horizontal="center" vertical="center" wrapText="1"/>
    </xf>
    <xf numFmtId="0" fontId="0" fillId="0" borderId="0" xfId="0" applyAlignment="1">
      <alignment wrapText="1"/>
    </xf>
    <xf numFmtId="0" fontId="18" fillId="4" borderId="63" xfId="0" applyFont="1" applyFill="1" applyBorder="1" applyAlignment="1">
      <alignment horizontal="center" vertical="center"/>
    </xf>
    <xf numFmtId="0" fontId="21" fillId="0" borderId="92" xfId="0" applyFont="1" applyBorder="1"/>
    <xf numFmtId="0" fontId="0" fillId="0" borderId="93" xfId="0" applyBorder="1"/>
    <xf numFmtId="0" fontId="0" fillId="0" borderId="94" xfId="0" applyBorder="1"/>
    <xf numFmtId="0" fontId="0" fillId="0" borderId="95" xfId="0" applyBorder="1"/>
    <xf numFmtId="0" fontId="21" fillId="0" borderId="36" xfId="0" applyFont="1" applyBorder="1"/>
    <xf numFmtId="0" fontId="19" fillId="4" borderId="68" xfId="0" applyFont="1" applyFill="1" applyBorder="1" applyAlignment="1">
      <alignment horizontal="center" vertical="center"/>
    </xf>
    <xf numFmtId="0" fontId="0" fillId="0" borderId="94" xfId="0" applyBorder="1" applyAlignment="1">
      <alignment wrapText="1"/>
    </xf>
    <xf numFmtId="0" fontId="0" fillId="0" borderId="94" xfId="0" quotePrefix="1" applyBorder="1"/>
    <xf numFmtId="0" fontId="21" fillId="0" borderId="0" xfId="0" applyFont="1" applyAlignment="1">
      <alignment horizontal="center" vertical="center"/>
    </xf>
    <xf numFmtId="0" fontId="21" fillId="0" borderId="13" xfId="0" applyFont="1" applyBorder="1"/>
    <xf numFmtId="0" fontId="21" fillId="0" borderId="0" xfId="0" applyFont="1" applyAlignment="1">
      <alignment horizontal="left" vertical="center"/>
    </xf>
    <xf numFmtId="0" fontId="0" fillId="0" borderId="0" xfId="0" applyAlignment="1">
      <alignment horizontal="right" vertical="center"/>
    </xf>
    <xf numFmtId="0" fontId="0" fillId="0" borderId="0" xfId="0" applyAlignment="1">
      <alignment horizontal="left" vertical="center"/>
    </xf>
    <xf numFmtId="0" fontId="21" fillId="0" borderId="74" xfId="0" applyFont="1" applyBorder="1" applyAlignment="1">
      <alignment vertical="center"/>
    </xf>
    <xf numFmtId="0" fontId="0" fillId="0" borderId="59" xfId="0" applyBorder="1"/>
    <xf numFmtId="0" fontId="0" fillId="0" borderId="97" xfId="0" applyBorder="1"/>
    <xf numFmtId="0" fontId="0" fillId="0" borderId="96" xfId="0" applyBorder="1" applyAlignment="1">
      <alignment wrapText="1"/>
    </xf>
    <xf numFmtId="0" fontId="21" fillId="0" borderId="0" xfId="0" applyFont="1" applyAlignment="1">
      <alignment vertical="center"/>
    </xf>
    <xf numFmtId="0" fontId="0" fillId="0" borderId="98" xfId="0" applyBorder="1"/>
    <xf numFmtId="0" fontId="2" fillId="0" borderId="88" xfId="0" applyFont="1" applyBorder="1"/>
    <xf numFmtId="0" fontId="21" fillId="0" borderId="18" xfId="0" applyFont="1" applyBorder="1" applyAlignment="1">
      <alignment horizontal="center" vertical="center"/>
    </xf>
    <xf numFmtId="0" fontId="0" fillId="0" borderId="64" xfId="0" applyBorder="1"/>
    <xf numFmtId="0" fontId="0" fillId="0" borderId="20" xfId="0" applyBorder="1"/>
    <xf numFmtId="0" fontId="0" fillId="0" borderId="19" xfId="0" applyBorder="1"/>
    <xf numFmtId="0" fontId="0" fillId="0" borderId="99" xfId="0" applyBorder="1"/>
    <xf numFmtId="0" fontId="0" fillId="0" borderId="51" xfId="0" quotePrefix="1" applyBorder="1"/>
    <xf numFmtId="0" fontId="0" fillId="0" borderId="51" xfId="0" applyBorder="1" applyAlignment="1">
      <alignment wrapText="1"/>
    </xf>
    <xf numFmtId="0" fontId="0" fillId="0" borderId="44" xfId="0" applyBorder="1"/>
    <xf numFmtId="165" fontId="13" fillId="0" borderId="0" xfId="2" applyFont="1" applyBorder="1" applyAlignment="1">
      <alignment horizontal="center" vertical="center"/>
    </xf>
    <xf numFmtId="0" fontId="2" fillId="0" borderId="24" xfId="0" applyFont="1" applyBorder="1" applyAlignment="1">
      <alignment vertical="center"/>
    </xf>
    <xf numFmtId="0" fontId="0" fillId="0" borderId="57" xfId="0" applyBorder="1"/>
    <xf numFmtId="0" fontId="2" fillId="0" borderId="72" xfId="0" applyFont="1" applyBorder="1" applyAlignment="1">
      <alignment vertical="center"/>
    </xf>
    <xf numFmtId="0" fontId="0" fillId="0" borderId="72" xfId="0" applyBorder="1"/>
    <xf numFmtId="0" fontId="0" fillId="0" borderId="40" xfId="0" applyBorder="1"/>
    <xf numFmtId="0" fontId="2" fillId="0" borderId="6" xfId="0" applyFont="1" applyBorder="1" applyAlignment="1">
      <alignment vertical="center"/>
    </xf>
    <xf numFmtId="0" fontId="2" fillId="0" borderId="8" xfId="0" applyFont="1" applyBorder="1" applyAlignment="1">
      <alignment vertical="center"/>
    </xf>
    <xf numFmtId="0" fontId="9" fillId="0" borderId="39" xfId="0" applyFont="1" applyBorder="1" applyAlignment="1">
      <alignment vertical="center"/>
    </xf>
    <xf numFmtId="0" fontId="9" fillId="0" borderId="41" xfId="0" applyFont="1" applyBorder="1" applyAlignment="1">
      <alignment vertical="center"/>
    </xf>
    <xf numFmtId="0" fontId="22" fillId="0" borderId="39" xfId="0" applyFont="1" applyBorder="1" applyAlignment="1">
      <alignment vertical="center"/>
    </xf>
    <xf numFmtId="0" fontId="23" fillId="0" borderId="40" xfId="0" applyFont="1" applyBorder="1" applyAlignment="1">
      <alignment vertical="center"/>
    </xf>
    <xf numFmtId="0" fontId="23" fillId="0" borderId="41" xfId="0" applyFont="1" applyBorder="1" applyAlignment="1">
      <alignment vertical="center"/>
    </xf>
    <xf numFmtId="0" fontId="14" fillId="0" borderId="40" xfId="0" applyFont="1" applyBorder="1" applyAlignment="1">
      <alignment vertical="center"/>
    </xf>
    <xf numFmtId="0" fontId="2" fillId="0" borderId="4" xfId="0" applyFont="1" applyBorder="1" applyAlignment="1">
      <alignment vertical="center"/>
    </xf>
    <xf numFmtId="0" fontId="22" fillId="0" borderId="103" xfId="0" applyFont="1" applyBorder="1" applyAlignment="1">
      <alignment horizontal="right" vertical="center"/>
    </xf>
    <xf numFmtId="0" fontId="24" fillId="0" borderId="0" xfId="0" applyFont="1"/>
    <xf numFmtId="165" fontId="13" fillId="0" borderId="71" xfId="2" applyFont="1" applyBorder="1" applyAlignment="1"/>
    <xf numFmtId="0" fontId="25" fillId="0" borderId="0" xfId="0" applyFont="1"/>
    <xf numFmtId="0" fontId="0" fillId="0" borderId="106" xfId="0" applyBorder="1" applyAlignment="1">
      <alignment horizontal="center" vertical="center"/>
    </xf>
    <xf numFmtId="0" fontId="0" fillId="0" borderId="79" xfId="0" applyBorder="1" applyAlignment="1">
      <alignment horizontal="center" vertical="center"/>
    </xf>
    <xf numFmtId="0" fontId="21" fillId="0" borderId="0" xfId="0" applyFont="1"/>
    <xf numFmtId="0" fontId="21" fillId="0" borderId="18" xfId="0" applyFont="1" applyBorder="1" applyAlignment="1">
      <alignment horizontal="center" wrapText="1"/>
    </xf>
    <xf numFmtId="0" fontId="0" fillId="0" borderId="18" xfId="0" applyBorder="1" applyAlignment="1">
      <alignment wrapText="1"/>
    </xf>
    <xf numFmtId="0" fontId="0" fillId="0" borderId="18" xfId="0" applyBorder="1" applyAlignment="1">
      <alignment vertical="center" wrapText="1"/>
    </xf>
    <xf numFmtId="0" fontId="0" fillId="0" borderId="18" xfId="0" applyBorder="1" applyAlignment="1">
      <alignment vertical="top" wrapText="1"/>
    </xf>
    <xf numFmtId="0" fontId="6" fillId="0" borderId="0" xfId="0" quotePrefix="1" applyFont="1" applyAlignment="1">
      <alignment vertical="center"/>
    </xf>
    <xf numFmtId="0" fontId="9" fillId="0" borderId="1" xfId="0" applyFont="1" applyBorder="1" applyAlignment="1">
      <alignment vertical="center"/>
    </xf>
    <xf numFmtId="0" fontId="3" fillId="0" borderId="52" xfId="0" applyFont="1" applyBorder="1" applyAlignment="1">
      <alignment horizontal="left" vertical="center"/>
    </xf>
    <xf numFmtId="0" fontId="3" fillId="0" borderId="53" xfId="0" applyFont="1" applyBorder="1" applyAlignment="1">
      <alignment horizontal="left" vertical="center"/>
    </xf>
    <xf numFmtId="0" fontId="19" fillId="4" borderId="53" xfId="0" applyFont="1" applyFill="1" applyBorder="1" applyAlignment="1">
      <alignment horizontal="center" vertical="center"/>
    </xf>
    <xf numFmtId="0" fontId="0" fillId="0" borderId="76" xfId="0" applyBorder="1" applyAlignment="1">
      <alignment horizontal="center" vertical="center"/>
    </xf>
    <xf numFmtId="0" fontId="0" fillId="0" borderId="90" xfId="0" applyBorder="1" applyAlignment="1">
      <alignment horizontal="center" vertical="center"/>
    </xf>
    <xf numFmtId="0" fontId="18" fillId="0" borderId="110" xfId="0" applyFont="1" applyBorder="1" applyAlignment="1">
      <alignment horizontal="center" vertical="center"/>
    </xf>
    <xf numFmtId="0" fontId="18" fillId="0" borderId="9" xfId="0" applyFont="1" applyBorder="1" applyAlignment="1">
      <alignment horizontal="center" vertical="center"/>
    </xf>
    <xf numFmtId="0" fontId="19" fillId="4" borderId="11" xfId="0" applyFont="1" applyFill="1" applyBorder="1" applyAlignment="1">
      <alignment horizontal="center" vertical="center"/>
    </xf>
    <xf numFmtId="0" fontId="19" fillId="4" borderId="10" xfId="0" applyFont="1" applyFill="1" applyBorder="1" applyAlignment="1">
      <alignment horizontal="center" vertical="center"/>
    </xf>
    <xf numFmtId="0" fontId="19" fillId="4" borderId="9" xfId="0" applyFont="1" applyFill="1" applyBorder="1" applyAlignment="1">
      <alignment horizontal="center" vertical="center"/>
    </xf>
    <xf numFmtId="0" fontId="18" fillId="0" borderId="10" xfId="0" applyFont="1" applyBorder="1" applyAlignment="1">
      <alignment horizontal="center" vertical="center"/>
    </xf>
    <xf numFmtId="0" fontId="0" fillId="0" borderId="18" xfId="0" applyBorder="1"/>
    <xf numFmtId="0" fontId="0" fillId="0" borderId="0" xfId="0" applyAlignment="1">
      <alignment vertical="top"/>
    </xf>
    <xf numFmtId="0" fontId="0" fillId="0" borderId="19" xfId="0" applyBorder="1" applyAlignment="1">
      <alignment wrapText="1"/>
    </xf>
    <xf numFmtId="0" fontId="17" fillId="0" borderId="76" xfId="0" applyFont="1" applyBorder="1" applyAlignment="1">
      <alignment horizontal="center"/>
    </xf>
    <xf numFmtId="0" fontId="17" fillId="0" borderId="112" xfId="0" applyFont="1" applyBorder="1" applyAlignment="1">
      <alignment horizontal="center"/>
    </xf>
    <xf numFmtId="0" fontId="0" fillId="0" borderId="106" xfId="0" applyBorder="1" applyAlignment="1">
      <alignment horizontal="center"/>
    </xf>
    <xf numFmtId="0" fontId="0" fillId="0" borderId="20" xfId="0" applyBorder="1" applyAlignment="1">
      <alignment wrapText="1"/>
    </xf>
    <xf numFmtId="0" fontId="0" fillId="0" borderId="113" xfId="0" applyBorder="1" applyAlignment="1">
      <alignment wrapText="1"/>
    </xf>
    <xf numFmtId="0" fontId="0" fillId="0" borderId="99" xfId="0" applyBorder="1" applyAlignment="1">
      <alignment vertical="top" wrapText="1"/>
    </xf>
    <xf numFmtId="0" fontId="0" fillId="0" borderId="96" xfId="0" applyBorder="1"/>
    <xf numFmtId="0" fontId="0" fillId="0" borderId="117" xfId="0" applyBorder="1"/>
    <xf numFmtId="0" fontId="0" fillId="0" borderId="107" xfId="0" applyBorder="1"/>
    <xf numFmtId="0" fontId="3" fillId="0" borderId="17" xfId="0" applyFont="1" applyBorder="1" applyAlignment="1">
      <alignment horizontal="left" vertical="center"/>
    </xf>
    <xf numFmtId="0" fontId="12" fillId="0" borderId="0" xfId="0" applyFont="1" applyAlignment="1">
      <alignment horizontal="center" vertical="center"/>
    </xf>
    <xf numFmtId="0" fontId="26" fillId="0" borderId="15" xfId="0" applyFont="1" applyBorder="1" applyAlignment="1">
      <alignment horizontal="center" vertical="center"/>
    </xf>
    <xf numFmtId="0" fontId="12" fillId="0" borderId="15" xfId="0" applyFont="1" applyBorder="1" applyAlignment="1">
      <alignment horizontal="center" vertical="center"/>
    </xf>
    <xf numFmtId="0" fontId="28" fillId="0" borderId="79" xfId="0" applyFont="1" applyBorder="1" applyAlignment="1">
      <alignment horizontal="left" vertical="center" wrapText="1"/>
    </xf>
    <xf numFmtId="0" fontId="28" fillId="0" borderId="81" xfId="0" applyFont="1" applyBorder="1" applyAlignment="1">
      <alignment horizontal="left" vertical="center" wrapText="1"/>
    </xf>
    <xf numFmtId="0" fontId="27" fillId="0" borderId="63" xfId="0" applyFont="1" applyBorder="1" applyAlignment="1">
      <alignment horizontal="center" vertical="center"/>
    </xf>
    <xf numFmtId="0" fontId="27" fillId="4" borderId="63" xfId="0" applyFont="1" applyFill="1" applyBorder="1" applyAlignment="1">
      <alignment horizontal="center" vertical="center"/>
    </xf>
    <xf numFmtId="0" fontId="22" fillId="0" borderId="40" xfId="0" applyFont="1" applyBorder="1" applyAlignment="1">
      <alignment horizontal="right" vertical="center"/>
    </xf>
    <xf numFmtId="0" fontId="14" fillId="0" borderId="39" xfId="0" applyFont="1" applyBorder="1" applyAlignment="1">
      <alignment vertical="center"/>
    </xf>
    <xf numFmtId="0" fontId="18" fillId="0" borderId="2" xfId="0" applyFont="1" applyBorder="1" applyAlignment="1">
      <alignment vertical="center"/>
    </xf>
    <xf numFmtId="0" fontId="18" fillId="0" borderId="3" xfId="0" applyFont="1" applyBorder="1" applyAlignment="1">
      <alignment vertical="center"/>
    </xf>
    <xf numFmtId="0" fontId="18" fillId="0" borderId="4" xfId="0" applyFont="1" applyBorder="1" applyAlignment="1">
      <alignment vertical="center"/>
    </xf>
    <xf numFmtId="0" fontId="18" fillId="0" borderId="0" xfId="0" applyFont="1" applyAlignment="1">
      <alignment vertical="center"/>
    </xf>
    <xf numFmtId="0" fontId="18" fillId="0" borderId="5" xfId="0" applyFont="1" applyBorder="1" applyAlignment="1">
      <alignment vertical="center"/>
    </xf>
    <xf numFmtId="0" fontId="18" fillId="0" borderId="6" xfId="0" applyFont="1" applyBorder="1" applyAlignment="1">
      <alignment vertical="center"/>
    </xf>
    <xf numFmtId="0" fontId="18" fillId="0" borderId="7" xfId="0" applyFont="1" applyBorder="1" applyAlignment="1">
      <alignment vertical="center"/>
    </xf>
    <xf numFmtId="0" fontId="18" fillId="0" borderId="8" xfId="0" applyFont="1" applyBorder="1" applyAlignment="1">
      <alignment vertical="center"/>
    </xf>
    <xf numFmtId="0" fontId="18" fillId="0" borderId="1" xfId="0" applyFont="1" applyBorder="1" applyAlignment="1">
      <alignment vertical="center"/>
    </xf>
    <xf numFmtId="0" fontId="22" fillId="0" borderId="39" xfId="0" applyFont="1" applyBorder="1" applyAlignment="1">
      <alignment horizontal="left" vertical="center"/>
    </xf>
    <xf numFmtId="0" fontId="0" fillId="0" borderId="39" xfId="0" applyBorder="1"/>
    <xf numFmtId="0" fontId="29" fillId="0" borderId="0" xfId="0" applyFont="1" applyAlignment="1">
      <alignment horizontal="right" vertical="center"/>
    </xf>
    <xf numFmtId="0" fontId="14" fillId="0" borderId="41" xfId="0" applyFont="1" applyBorder="1" applyAlignment="1">
      <alignment vertical="center"/>
    </xf>
    <xf numFmtId="0" fontId="29" fillId="0" borderId="103" xfId="0" applyFont="1" applyBorder="1" applyAlignment="1">
      <alignment horizontal="right" vertical="center"/>
    </xf>
    <xf numFmtId="0" fontId="29" fillId="0" borderId="40" xfId="0" applyFont="1" applyBorder="1" applyAlignment="1">
      <alignment horizontal="left" vertical="center"/>
    </xf>
    <xf numFmtId="0" fontId="22" fillId="0" borderId="102" xfId="0" applyFont="1" applyBorder="1" applyAlignment="1">
      <alignment vertical="center"/>
    </xf>
    <xf numFmtId="0" fontId="5" fillId="0" borderId="102" xfId="0" applyFont="1" applyBorder="1" applyAlignment="1">
      <alignment vertical="center"/>
    </xf>
    <xf numFmtId="4" fontId="0" fillId="0" borderId="18" xfId="0" applyNumberFormat="1" applyBorder="1" applyAlignment="1">
      <alignment horizontal="right"/>
    </xf>
    <xf numFmtId="4" fontId="0" fillId="0" borderId="18" xfId="0" applyNumberFormat="1" applyBorder="1"/>
    <xf numFmtId="2" fontId="0" fillId="0" borderId="18" xfId="0" applyNumberFormat="1" applyBorder="1"/>
    <xf numFmtId="4" fontId="0" fillId="0" borderId="0" xfId="0" applyNumberFormat="1"/>
    <xf numFmtId="2" fontId="0" fillId="0" borderId="0" xfId="0" applyNumberFormat="1"/>
    <xf numFmtId="4" fontId="0" fillId="0" borderId="15" xfId="0" applyNumberFormat="1" applyBorder="1"/>
    <xf numFmtId="2" fontId="0" fillId="0" borderId="15" xfId="0" applyNumberFormat="1" applyBorder="1"/>
    <xf numFmtId="4" fontId="0" fillId="0" borderId="13" xfId="0" applyNumberFormat="1" applyBorder="1"/>
    <xf numFmtId="2" fontId="0" fillId="0" borderId="13" xfId="0" applyNumberFormat="1" applyBorder="1"/>
    <xf numFmtId="2" fontId="21" fillId="0" borderId="18" xfId="0" applyNumberFormat="1" applyFont="1" applyBorder="1"/>
    <xf numFmtId="0" fontId="0" fillId="0" borderId="0" xfId="0" applyAlignment="1">
      <alignment vertical="center" wrapText="1"/>
    </xf>
    <xf numFmtId="0" fontId="0" fillId="0" borderId="118" xfId="0" applyBorder="1"/>
    <xf numFmtId="0" fontId="3" fillId="0" borderId="2" xfId="0" applyFont="1" applyBorder="1" applyAlignment="1">
      <alignment horizontal="center"/>
    </xf>
    <xf numFmtId="0" fontId="2" fillId="0" borderId="71" xfId="0" applyFont="1" applyBorder="1" applyAlignment="1">
      <alignment horizontal="center" vertical="center"/>
    </xf>
    <xf numFmtId="0" fontId="2" fillId="0" borderId="48" xfId="0" applyFont="1" applyBorder="1" applyAlignment="1">
      <alignment horizontal="center" vertical="center" wrapText="1"/>
    </xf>
    <xf numFmtId="9" fontId="8" fillId="0" borderId="35" xfId="1" applyFont="1" applyBorder="1" applyAlignment="1">
      <alignment horizontal="center" vertical="center"/>
    </xf>
    <xf numFmtId="0" fontId="8" fillId="0" borderId="36" xfId="0" applyFont="1" applyBorder="1" applyAlignment="1">
      <alignment horizontal="center" vertical="center" wrapText="1"/>
    </xf>
    <xf numFmtId="0" fontId="3" fillId="0" borderId="35" xfId="0" applyFont="1" applyBorder="1" applyAlignment="1">
      <alignment horizontal="center" vertical="center" wrapText="1"/>
    </xf>
    <xf numFmtId="0" fontId="0" fillId="0" borderId="44" xfId="0" applyBorder="1" applyAlignment="1">
      <alignment horizontal="center" vertical="center"/>
    </xf>
    <xf numFmtId="0" fontId="0" fillId="0" borderId="48" xfId="0" applyBorder="1" applyAlignment="1">
      <alignment horizontal="center" vertical="center"/>
    </xf>
    <xf numFmtId="0" fontId="3" fillId="0" borderId="44" xfId="0" applyFont="1" applyBorder="1" applyAlignment="1">
      <alignment horizontal="center" vertical="center"/>
    </xf>
    <xf numFmtId="0" fontId="2" fillId="0" borderId="68" xfId="0" applyFont="1" applyBorder="1" applyAlignment="1">
      <alignment horizontal="center" vertical="center" wrapText="1"/>
    </xf>
    <xf numFmtId="0" fontId="0" fillId="0" borderId="111" xfId="0" applyBorder="1" applyAlignment="1">
      <alignment horizontal="center" vertical="center"/>
    </xf>
    <xf numFmtId="0" fontId="0" fillId="0" borderId="34" xfId="0" applyBorder="1" applyAlignment="1">
      <alignment horizontal="center" vertical="center"/>
    </xf>
    <xf numFmtId="0" fontId="2" fillId="0" borderId="111" xfId="0" applyFont="1" applyBorder="1" applyAlignment="1">
      <alignment horizontal="center" vertical="center" wrapText="1"/>
    </xf>
    <xf numFmtId="0" fontId="3" fillId="0" borderId="111" xfId="0" applyFont="1" applyBorder="1" applyAlignment="1">
      <alignment horizontal="center" vertical="center"/>
    </xf>
    <xf numFmtId="0" fontId="3" fillId="0" borderId="34" xfId="0" applyFont="1" applyBorder="1" applyAlignment="1">
      <alignment horizontal="center" vertical="center"/>
    </xf>
    <xf numFmtId="0" fontId="8" fillId="0" borderId="58" xfId="0" applyFont="1" applyBorder="1" applyAlignment="1">
      <alignment horizontal="center" vertical="center"/>
    </xf>
    <xf numFmtId="0" fontId="0" fillId="0" borderId="58" xfId="0" applyBorder="1" applyAlignment="1">
      <alignment horizontal="center" vertical="center"/>
    </xf>
    <xf numFmtId="0" fontId="3" fillId="0" borderId="36" xfId="0" applyFont="1" applyBorder="1" applyAlignment="1">
      <alignment horizontal="center" vertical="center" wrapText="1"/>
    </xf>
    <xf numFmtId="0" fontId="3" fillId="0" borderId="120" xfId="0" applyFont="1" applyBorder="1" applyAlignment="1">
      <alignment horizontal="center"/>
    </xf>
    <xf numFmtId="0" fontId="13" fillId="0" borderId="69" xfId="0" applyFont="1" applyBorder="1" applyAlignment="1">
      <alignment horizontal="center" vertical="center"/>
    </xf>
    <xf numFmtId="0" fontId="23" fillId="0" borderId="40" xfId="0" applyFont="1" applyBorder="1" applyAlignment="1">
      <alignment horizontal="left" vertical="center"/>
    </xf>
    <xf numFmtId="0" fontId="23" fillId="0" borderId="41" xfId="0" applyFont="1" applyBorder="1" applyAlignment="1">
      <alignment horizontal="left" vertical="center"/>
    </xf>
    <xf numFmtId="0" fontId="2" fillId="0" borderId="58" xfId="0" applyFont="1" applyBorder="1" applyAlignment="1">
      <alignment horizontal="center" vertical="center" wrapText="1"/>
    </xf>
    <xf numFmtId="0" fontId="2" fillId="0" borderId="71" xfId="0" applyFont="1" applyBorder="1" applyAlignment="1">
      <alignment horizontal="center" vertical="center" wrapText="1"/>
    </xf>
    <xf numFmtId="0" fontId="3" fillId="0" borderId="36" xfId="0" applyFont="1" applyBorder="1" applyAlignment="1">
      <alignment horizontal="center"/>
    </xf>
    <xf numFmtId="0" fontId="2" fillId="0" borderId="0" xfId="0" applyFont="1" applyAlignment="1">
      <alignment horizontal="center" vertical="center" wrapText="1"/>
    </xf>
    <xf numFmtId="0" fontId="3" fillId="0" borderId="44" xfId="0" applyFont="1" applyBorder="1" applyAlignment="1">
      <alignment horizontal="center"/>
    </xf>
    <xf numFmtId="0" fontId="3" fillId="0" borderId="35" xfId="0" applyFont="1" applyBorder="1" applyAlignment="1">
      <alignment horizontal="center"/>
    </xf>
    <xf numFmtId="0" fontId="8" fillId="0" borderId="36" xfId="0" applyFont="1" applyBorder="1" applyAlignment="1">
      <alignment horizontal="center"/>
    </xf>
    <xf numFmtId="49" fontId="13" fillId="0" borderId="69" xfId="0" applyNumberFormat="1" applyFont="1" applyBorder="1" applyAlignment="1">
      <alignment horizontal="center" vertical="center"/>
    </xf>
    <xf numFmtId="0" fontId="21" fillId="0" borderId="18" xfId="0" applyFont="1" applyBorder="1"/>
    <xf numFmtId="0" fontId="21" fillId="0" borderId="9" xfId="0" applyFont="1" applyBorder="1" applyAlignment="1">
      <alignment horizontal="center" vertical="center" wrapText="1"/>
    </xf>
    <xf numFmtId="0" fontId="21" fillId="0" borderId="11" xfId="0" applyFont="1" applyBorder="1"/>
    <xf numFmtId="0" fontId="3" fillId="0" borderId="15" xfId="0" applyFont="1" applyBorder="1" applyAlignment="1">
      <alignment horizontal="center"/>
    </xf>
    <xf numFmtId="168" fontId="2" fillId="0" borderId="44" xfId="1" applyNumberFormat="1" applyFont="1" applyBorder="1" applyAlignment="1">
      <alignment horizontal="center" vertical="center" wrapText="1"/>
    </xf>
    <xf numFmtId="0" fontId="0" fillId="0" borderId="33" xfId="0" applyBorder="1" applyAlignment="1">
      <alignment horizontal="center"/>
    </xf>
    <xf numFmtId="0" fontId="0" fillId="0" borderId="35" xfId="0" applyBorder="1" applyAlignment="1">
      <alignment horizontal="center"/>
    </xf>
    <xf numFmtId="0" fontId="8" fillId="0" borderId="58" xfId="0" applyFont="1" applyBorder="1" applyAlignment="1">
      <alignment horizontal="center"/>
    </xf>
    <xf numFmtId="0" fontId="3" fillId="0" borderId="34" xfId="0" applyFont="1" applyBorder="1" applyAlignment="1">
      <alignment horizontal="center"/>
    </xf>
    <xf numFmtId="0" fontId="13" fillId="0" borderId="122" xfId="0" applyFont="1" applyBorder="1" applyAlignment="1">
      <alignment horizontal="center" vertical="center"/>
    </xf>
    <xf numFmtId="0" fontId="3" fillId="0" borderId="26" xfId="0" applyFont="1" applyBorder="1" applyAlignment="1">
      <alignment horizontal="center"/>
    </xf>
    <xf numFmtId="0" fontId="3" fillId="0" borderId="21" xfId="0" applyFont="1" applyBorder="1" applyAlignment="1">
      <alignment horizontal="center"/>
    </xf>
    <xf numFmtId="0" fontId="2" fillId="0" borderId="44" xfId="0" applyFont="1" applyBorder="1" applyAlignment="1">
      <alignment horizontal="center" vertical="center" wrapText="1"/>
    </xf>
    <xf numFmtId="0" fontId="2" fillId="0" borderId="73" xfId="0" applyFont="1" applyBorder="1" applyAlignment="1">
      <alignment vertical="center"/>
    </xf>
    <xf numFmtId="0" fontId="29" fillId="0" borderId="123" xfId="0" applyFont="1" applyBorder="1" applyAlignment="1">
      <alignment horizontal="right" vertical="center"/>
    </xf>
    <xf numFmtId="0" fontId="22" fillId="0" borderId="123" xfId="0" applyFont="1" applyBorder="1" applyAlignment="1">
      <alignment horizontal="right" vertical="center"/>
    </xf>
    <xf numFmtId="0" fontId="2" fillId="0" borderId="100" xfId="0" applyFont="1" applyBorder="1" applyAlignment="1">
      <alignment vertical="center"/>
    </xf>
    <xf numFmtId="0" fontId="2" fillId="0" borderId="96" xfId="0" applyFont="1" applyBorder="1" applyAlignment="1">
      <alignment vertical="center"/>
    </xf>
    <xf numFmtId="0" fontId="3" fillId="0" borderId="108" xfId="0" applyFont="1" applyBorder="1" applyAlignment="1">
      <alignment vertical="center"/>
    </xf>
    <xf numFmtId="0" fontId="3" fillId="0" borderId="60" xfId="0" applyFont="1" applyBorder="1" applyAlignment="1">
      <alignment vertical="center"/>
    </xf>
    <xf numFmtId="0" fontId="3" fillId="0" borderId="61" xfId="0" applyFont="1" applyBorder="1" applyAlignment="1">
      <alignment vertical="center"/>
    </xf>
    <xf numFmtId="0" fontId="0" fillId="0" borderId="34" xfId="0" applyBorder="1" applyAlignment="1">
      <alignment horizontal="center"/>
    </xf>
    <xf numFmtId="0" fontId="3" fillId="0" borderId="34" xfId="0" applyFont="1" applyBorder="1" applyAlignment="1">
      <alignment horizontal="center" wrapText="1"/>
    </xf>
    <xf numFmtId="0" fontId="2" fillId="0" borderId="124" xfId="0" applyFont="1" applyBorder="1" applyAlignment="1">
      <alignment vertical="center"/>
    </xf>
    <xf numFmtId="0" fontId="2" fillId="0" borderId="125" xfId="0" applyFont="1" applyBorder="1" applyAlignment="1">
      <alignment vertical="center"/>
    </xf>
    <xf numFmtId="0" fontId="2" fillId="0" borderId="120" xfId="0" applyFont="1" applyBorder="1" applyAlignment="1">
      <alignment vertical="center"/>
    </xf>
    <xf numFmtId="1" fontId="2" fillId="0" borderId="12" xfId="0" applyNumberFormat="1" applyFont="1" applyBorder="1" applyAlignment="1">
      <alignment horizontal="left" vertical="center"/>
    </xf>
    <xf numFmtId="0" fontId="13" fillId="0" borderId="0" xfId="0" applyFont="1" applyAlignment="1">
      <alignment horizontal="center"/>
    </xf>
    <xf numFmtId="1" fontId="2" fillId="0" borderId="0" xfId="0" applyNumberFormat="1" applyFont="1" applyAlignment="1">
      <alignment horizontal="left" vertical="center"/>
    </xf>
    <xf numFmtId="0" fontId="0" fillId="0" borderId="68" xfId="0" applyBorder="1" applyAlignment="1">
      <alignment wrapText="1"/>
    </xf>
    <xf numFmtId="167" fontId="3" fillId="0" borderId="18" xfId="2" applyNumberFormat="1" applyFont="1" applyBorder="1" applyAlignment="1">
      <alignment horizontal="center"/>
    </xf>
    <xf numFmtId="167" fontId="2" fillId="0" borderId="18" xfId="2" applyNumberFormat="1" applyFont="1" applyBorder="1" applyAlignment="1">
      <alignment horizontal="center" vertical="center"/>
    </xf>
    <xf numFmtId="0" fontId="0" fillId="0" borderId="61" xfId="0" applyBorder="1"/>
    <xf numFmtId="0" fontId="3" fillId="0" borderId="2" xfId="0" applyFont="1" applyBorder="1" applyAlignment="1">
      <alignment vertical="center"/>
    </xf>
    <xf numFmtId="0" fontId="3" fillId="0" borderId="7" xfId="0" applyFont="1" applyBorder="1" applyAlignment="1">
      <alignment vertical="center"/>
    </xf>
    <xf numFmtId="0" fontId="3" fillId="0" borderId="15" xfId="0" applyFont="1" applyBorder="1" applyAlignment="1">
      <alignment horizontal="center" vertical="center" wrapText="1"/>
    </xf>
    <xf numFmtId="165" fontId="13" fillId="0" borderId="42" xfId="2" applyFont="1" applyFill="1" applyBorder="1" applyAlignment="1">
      <alignment horizontal="center" vertical="center"/>
    </xf>
    <xf numFmtId="168" fontId="13" fillId="0" borderId="42" xfId="1" applyNumberFormat="1" applyFont="1" applyFill="1" applyBorder="1" applyAlignment="1">
      <alignment horizontal="center" vertical="center"/>
    </xf>
    <xf numFmtId="0" fontId="2" fillId="0" borderId="4" xfId="0" applyFont="1" applyBorder="1" applyAlignment="1">
      <alignment vertical="center" wrapText="1"/>
    </xf>
    <xf numFmtId="0" fontId="2" fillId="0" borderId="5" xfId="0" applyFont="1" applyBorder="1" applyAlignment="1">
      <alignment vertical="center" wrapText="1"/>
    </xf>
    <xf numFmtId="0" fontId="28" fillId="0" borderId="89" xfId="0" applyFont="1" applyBorder="1" applyAlignment="1">
      <alignment horizontal="left" vertical="center" wrapText="1"/>
    </xf>
    <xf numFmtId="0" fontId="11" fillId="0" borderId="68" xfId="0" applyFont="1" applyBorder="1" applyAlignment="1">
      <alignment horizontal="center" vertical="center" wrapText="1"/>
    </xf>
    <xf numFmtId="0" fontId="0" fillId="4" borderId="51" xfId="0" applyFill="1" applyBorder="1"/>
    <xf numFmtId="0" fontId="21" fillId="0" borderId="82" xfId="0" applyFont="1" applyBorder="1"/>
    <xf numFmtId="0" fontId="0" fillId="0" borderId="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30" fillId="6" borderId="20" xfId="0" applyFont="1" applyFill="1" applyBorder="1" applyAlignment="1">
      <alignment horizontal="center"/>
    </xf>
    <xf numFmtId="14" fontId="30" fillId="6" borderId="126" xfId="0" applyNumberFormat="1" applyFont="1" applyFill="1" applyBorder="1" applyAlignment="1">
      <alignment horizontal="center" vertical="center"/>
    </xf>
    <xf numFmtId="0" fontId="3" fillId="8" borderId="129" xfId="0" applyFont="1" applyFill="1" applyBorder="1" applyAlignment="1">
      <alignment horizontal="left" vertical="center"/>
    </xf>
    <xf numFmtId="0" fontId="3" fillId="8" borderId="128" xfId="0" applyFont="1" applyFill="1" applyBorder="1" applyAlignment="1">
      <alignment horizontal="left" vertical="center"/>
    </xf>
    <xf numFmtId="0" fontId="3" fillId="8" borderId="19" xfId="0" applyFont="1" applyFill="1" applyBorder="1" applyAlignment="1">
      <alignment horizontal="center"/>
    </xf>
    <xf numFmtId="0" fontId="3" fillId="8" borderId="126" xfId="0" applyFont="1" applyFill="1" applyBorder="1" applyAlignment="1">
      <alignment horizontal="center" vertical="center"/>
    </xf>
    <xf numFmtId="3" fontId="3" fillId="8" borderId="126" xfId="0" applyNumberFormat="1" applyFont="1" applyFill="1" applyBorder="1" applyAlignment="1">
      <alignment horizontal="center" vertical="center"/>
    </xf>
    <xf numFmtId="168" fontId="3" fillId="8" borderId="9" xfId="1" applyNumberFormat="1" applyFont="1" applyFill="1" applyBorder="1" applyAlignment="1">
      <alignment horizontal="center" vertical="center"/>
    </xf>
    <xf numFmtId="167" fontId="3" fillId="8" borderId="18" xfId="2" applyNumberFormat="1" applyFont="1" applyFill="1" applyBorder="1" applyAlignment="1">
      <alignment horizontal="center" vertical="center"/>
    </xf>
    <xf numFmtId="166" fontId="3" fillId="8" borderId="18" xfId="2" applyNumberFormat="1" applyFont="1" applyFill="1" applyBorder="1" applyAlignment="1">
      <alignment horizontal="center" vertical="center"/>
    </xf>
    <xf numFmtId="0" fontId="0" fillId="6" borderId="0" xfId="0" applyFill="1"/>
    <xf numFmtId="167" fontId="2" fillId="0" borderId="63" xfId="2" applyNumberFormat="1" applyFont="1" applyBorder="1" applyAlignment="1">
      <alignment horizontal="center" vertical="center"/>
    </xf>
    <xf numFmtId="0" fontId="0" fillId="7" borderId="0" xfId="0" applyFill="1"/>
    <xf numFmtId="0" fontId="31" fillId="6" borderId="42" xfId="0" applyFont="1" applyFill="1" applyBorder="1" applyAlignment="1">
      <alignment horizontal="center" vertical="center"/>
    </xf>
    <xf numFmtId="0" fontId="32" fillId="6" borderId="42" xfId="0" applyFont="1" applyFill="1" applyBorder="1" applyAlignment="1">
      <alignment horizontal="center" vertical="center"/>
    </xf>
    <xf numFmtId="0" fontId="31" fillId="6" borderId="43" xfId="0" applyFont="1" applyFill="1" applyBorder="1" applyAlignment="1">
      <alignment horizontal="center" vertical="center"/>
    </xf>
    <xf numFmtId="0" fontId="32" fillId="6" borderId="43" xfId="0" applyFont="1" applyFill="1" applyBorder="1" applyAlignment="1">
      <alignment horizontal="center" vertical="center"/>
    </xf>
    <xf numFmtId="0" fontId="31" fillId="6" borderId="37" xfId="0" applyFont="1" applyFill="1" applyBorder="1" applyAlignment="1">
      <alignment horizontal="center" vertical="center"/>
    </xf>
    <xf numFmtId="0" fontId="31" fillId="6" borderId="38" xfId="0" applyFont="1" applyFill="1" applyBorder="1" applyAlignment="1">
      <alignment horizontal="center" vertical="center"/>
    </xf>
    <xf numFmtId="0" fontId="31" fillId="6" borderId="114" xfId="0" applyFont="1" applyFill="1" applyBorder="1" applyAlignment="1">
      <alignment horizontal="center" vertical="center"/>
    </xf>
    <xf numFmtId="0" fontId="31" fillId="6" borderId="33" xfId="0" applyFont="1" applyFill="1" applyBorder="1" applyAlignment="1">
      <alignment horizontal="center" vertical="center"/>
    </xf>
    <xf numFmtId="0" fontId="30" fillId="6" borderId="64" xfId="0" applyFont="1" applyFill="1" applyBorder="1" applyAlignment="1">
      <alignment horizontal="center"/>
    </xf>
    <xf numFmtId="165" fontId="24" fillId="6" borderId="18" xfId="2" applyFont="1" applyFill="1" applyBorder="1" applyAlignment="1">
      <alignment horizontal="right"/>
    </xf>
    <xf numFmtId="4" fontId="24" fillId="6" borderId="18" xfId="0" applyNumberFormat="1" applyFont="1" applyFill="1" applyBorder="1" applyAlignment="1">
      <alignment horizontal="right"/>
    </xf>
    <xf numFmtId="4" fontId="24" fillId="6" borderId="18" xfId="1" applyNumberFormat="1" applyFont="1" applyFill="1" applyBorder="1" applyAlignment="1">
      <alignment horizontal="right"/>
    </xf>
    <xf numFmtId="0" fontId="13" fillId="8" borderId="37" xfId="0" applyFont="1" applyFill="1" applyBorder="1" applyAlignment="1">
      <alignment horizontal="center" vertical="center"/>
    </xf>
    <xf numFmtId="0" fontId="13" fillId="8" borderId="42" xfId="0" applyFont="1" applyFill="1" applyBorder="1" applyAlignment="1">
      <alignment horizontal="center" vertical="center"/>
    </xf>
    <xf numFmtId="0" fontId="13" fillId="8" borderId="38" xfId="0" applyFont="1" applyFill="1" applyBorder="1" applyAlignment="1">
      <alignment horizontal="center" vertical="center"/>
    </xf>
    <xf numFmtId="0" fontId="13" fillId="8" borderId="43" xfId="0" applyFont="1" applyFill="1" applyBorder="1" applyAlignment="1">
      <alignment horizontal="center" vertical="center"/>
    </xf>
    <xf numFmtId="0" fontId="5" fillId="8" borderId="42" xfId="0" applyFont="1" applyFill="1" applyBorder="1" applyAlignment="1">
      <alignment horizontal="center" vertical="center"/>
    </xf>
    <xf numFmtId="0" fontId="5" fillId="8" borderId="43" xfId="0" applyFont="1" applyFill="1" applyBorder="1" applyAlignment="1">
      <alignment horizontal="center" vertical="center"/>
    </xf>
    <xf numFmtId="165" fontId="13" fillId="8" borderId="42" xfId="2" applyFont="1" applyFill="1" applyBorder="1" applyAlignment="1">
      <alignment horizontal="center" vertical="center"/>
    </xf>
    <xf numFmtId="165" fontId="13" fillId="8" borderId="43" xfId="2" applyFont="1" applyFill="1" applyBorder="1" applyAlignment="1">
      <alignment horizontal="center" vertical="center"/>
    </xf>
    <xf numFmtId="168" fontId="13" fillId="8" borderId="42" xfId="1" applyNumberFormat="1" applyFont="1" applyFill="1" applyBorder="1" applyAlignment="1">
      <alignment horizontal="center" vertical="center"/>
    </xf>
    <xf numFmtId="165" fontId="13" fillId="8" borderId="121" xfId="2" applyFont="1" applyFill="1" applyBorder="1" applyAlignment="1">
      <alignment horizontal="center" vertical="center"/>
    </xf>
    <xf numFmtId="169" fontId="13" fillId="8" borderId="42" xfId="2" applyNumberFormat="1" applyFont="1" applyFill="1" applyBorder="1" applyAlignment="1">
      <alignment horizontal="center" vertical="center"/>
    </xf>
    <xf numFmtId="169" fontId="13" fillId="8" borderId="43" xfId="2" applyNumberFormat="1" applyFont="1" applyFill="1" applyBorder="1" applyAlignment="1">
      <alignment horizontal="center" vertical="center"/>
    </xf>
    <xf numFmtId="0" fontId="3" fillId="8" borderId="14" xfId="0" applyFont="1" applyFill="1" applyBorder="1" applyAlignment="1">
      <alignment horizontal="center"/>
    </xf>
    <xf numFmtId="170" fontId="0" fillId="8" borderId="18" xfId="1" applyNumberFormat="1" applyFont="1" applyFill="1" applyBorder="1"/>
    <xf numFmtId="4" fontId="4" fillId="8" borderId="18" xfId="2" applyNumberFormat="1" applyFont="1" applyFill="1" applyBorder="1"/>
    <xf numFmtId="4" fontId="4" fillId="8" borderId="18" xfId="0" applyNumberFormat="1" applyFont="1" applyFill="1" applyBorder="1"/>
    <xf numFmtId="0" fontId="2" fillId="0" borderId="62" xfId="0" applyFont="1" applyBorder="1" applyAlignment="1">
      <alignment horizontal="center" vertical="center" wrapText="1"/>
    </xf>
    <xf numFmtId="0" fontId="2" fillId="0" borderId="130" xfId="0" applyFont="1" applyBorder="1" applyAlignment="1">
      <alignment horizontal="center" vertical="center" wrapText="1"/>
    </xf>
    <xf numFmtId="0" fontId="2" fillId="0" borderId="131" xfId="0" applyFont="1" applyBorder="1" applyAlignment="1">
      <alignment horizontal="center" vertical="center" wrapText="1"/>
    </xf>
    <xf numFmtId="0" fontId="0" fillId="0" borderId="132" xfId="0" applyBorder="1" applyAlignment="1">
      <alignment horizontal="center" vertical="center"/>
    </xf>
    <xf numFmtId="0" fontId="3" fillId="0" borderId="133" xfId="0" applyFont="1" applyBorder="1" applyAlignment="1">
      <alignment horizontal="center" vertical="center"/>
    </xf>
    <xf numFmtId="0" fontId="3" fillId="0" borderId="134" xfId="0" applyFont="1" applyBorder="1" applyAlignment="1">
      <alignment horizontal="center" vertical="center" wrapText="1"/>
    </xf>
    <xf numFmtId="164" fontId="31" fillId="6" borderId="135" xfId="0" applyNumberFormat="1" applyFont="1" applyFill="1" applyBorder="1" applyAlignment="1">
      <alignment horizontal="center" vertical="center"/>
    </xf>
    <xf numFmtId="164" fontId="31" fillId="6" borderId="137" xfId="0" applyNumberFormat="1" applyFont="1" applyFill="1" applyBorder="1" applyAlignment="1">
      <alignment horizontal="center" vertical="center"/>
    </xf>
    <xf numFmtId="165" fontId="13" fillId="8" borderId="138" xfId="2" applyFont="1" applyFill="1" applyBorder="1" applyAlignment="1">
      <alignment horizontal="center" vertical="center"/>
    </xf>
    <xf numFmtId="168" fontId="13" fillId="8" borderId="138" xfId="1" applyNumberFormat="1" applyFont="1" applyFill="1" applyBorder="1" applyAlignment="1">
      <alignment horizontal="center" vertical="center"/>
    </xf>
    <xf numFmtId="168" fontId="13" fillId="0" borderId="138" xfId="1" applyNumberFormat="1" applyFont="1" applyFill="1" applyBorder="1" applyAlignment="1">
      <alignment horizontal="center" vertical="center"/>
    </xf>
    <xf numFmtId="49" fontId="13" fillId="0" borderId="143" xfId="0" applyNumberFormat="1" applyFont="1" applyBorder="1" applyAlignment="1">
      <alignment horizontal="center" vertical="center"/>
    </xf>
    <xf numFmtId="49" fontId="13" fillId="0" borderId="145" xfId="0" applyNumberFormat="1" applyFont="1" applyBorder="1" applyAlignment="1">
      <alignment horizontal="center" vertical="center"/>
    </xf>
    <xf numFmtId="0" fontId="3" fillId="0" borderId="58" xfId="0" applyFont="1" applyBorder="1" applyAlignment="1">
      <alignment horizontal="center" vertical="center"/>
    </xf>
    <xf numFmtId="0" fontId="3" fillId="0" borderId="36" xfId="0" applyFont="1" applyBorder="1" applyAlignment="1">
      <alignment horizontal="center" vertical="center"/>
    </xf>
    <xf numFmtId="2" fontId="31" fillId="6" borderId="114" xfId="0" applyNumberFormat="1" applyFont="1" applyFill="1" applyBorder="1" applyAlignment="1">
      <alignment horizontal="center" vertical="center"/>
    </xf>
    <xf numFmtId="2" fontId="31" fillId="6" borderId="151" xfId="0" applyNumberFormat="1" applyFont="1" applyFill="1" applyBorder="1" applyAlignment="1">
      <alignment horizontal="center" vertical="center"/>
    </xf>
    <xf numFmtId="0" fontId="0" fillId="0" borderId="140" xfId="0" applyBorder="1"/>
    <xf numFmtId="0" fontId="0" fillId="0" borderId="141" xfId="0" applyBorder="1"/>
    <xf numFmtId="0" fontId="13" fillId="0" borderId="148" xfId="0" applyFont="1" applyBorder="1" applyAlignment="1">
      <alignment horizontal="center"/>
    </xf>
    <xf numFmtId="0" fontId="13" fillId="0" borderId="141" xfId="0" applyFont="1" applyBorder="1" applyAlignment="1">
      <alignment horizontal="center"/>
    </xf>
    <xf numFmtId="0" fontId="16" fillId="0" borderId="148" xfId="0" applyFont="1" applyBorder="1" applyAlignment="1">
      <alignment horizontal="center"/>
    </xf>
    <xf numFmtId="0" fontId="0" fillId="0" borderId="141" xfId="0" applyBorder="1" applyAlignment="1">
      <alignment horizontal="center"/>
    </xf>
    <xf numFmtId="0" fontId="13" fillId="0" borderId="152" xfId="0" applyFont="1" applyBorder="1" applyAlignment="1">
      <alignment horizontal="center"/>
    </xf>
    <xf numFmtId="0" fontId="0" fillId="0" borderId="132" xfId="0" applyBorder="1"/>
    <xf numFmtId="0" fontId="0" fillId="0" borderId="146" xfId="0" applyBorder="1"/>
    <xf numFmtId="0" fontId="0" fillId="0" borderId="147" xfId="0" applyBorder="1"/>
    <xf numFmtId="0" fontId="13" fillId="0" borderId="147" xfId="0" applyFont="1" applyBorder="1" applyAlignment="1">
      <alignment horizontal="right"/>
    </xf>
    <xf numFmtId="165" fontId="13" fillId="0" borderId="156" xfId="2" applyFont="1" applyBorder="1" applyAlignment="1"/>
    <xf numFmtId="0" fontId="13" fillId="0" borderId="57" xfId="0" applyFont="1" applyBorder="1" applyAlignment="1">
      <alignment horizontal="center" vertical="center"/>
    </xf>
    <xf numFmtId="0" fontId="2" fillId="5" borderId="15" xfId="0" applyFont="1" applyFill="1" applyBorder="1" applyAlignment="1">
      <alignment horizontal="center"/>
    </xf>
    <xf numFmtId="0" fontId="31" fillId="6" borderId="10" xfId="0" applyFont="1" applyFill="1" applyBorder="1" applyAlignment="1">
      <alignment horizontal="center" vertical="center"/>
    </xf>
    <xf numFmtId="0" fontId="31" fillId="6" borderId="22" xfId="0" applyFont="1" applyFill="1" applyBorder="1" applyAlignment="1">
      <alignment horizontal="center" vertical="center"/>
    </xf>
    <xf numFmtId="0" fontId="0" fillId="0" borderId="111" xfId="0" applyBorder="1" applyAlignment="1">
      <alignment horizontal="center"/>
    </xf>
    <xf numFmtId="168" fontId="13" fillId="8" borderId="114" xfId="1" applyNumberFormat="1" applyFont="1" applyFill="1" applyBorder="1" applyAlignment="1">
      <alignment horizontal="center" vertical="center"/>
    </xf>
    <xf numFmtId="168" fontId="13" fillId="8" borderId="121" xfId="1" applyNumberFormat="1" applyFont="1" applyFill="1" applyBorder="1" applyAlignment="1">
      <alignment horizontal="center" vertical="center"/>
    </xf>
    <xf numFmtId="0" fontId="11" fillId="0" borderId="44" xfId="0" applyFont="1" applyBorder="1" applyAlignment="1">
      <alignment horizontal="center" vertical="center" wrapText="1"/>
    </xf>
    <xf numFmtId="0" fontId="8" fillId="0" borderId="35" xfId="0" applyFont="1" applyBorder="1" applyAlignment="1">
      <alignment horizontal="center"/>
    </xf>
    <xf numFmtId="0" fontId="13" fillId="0" borderId="142" xfId="0" applyFont="1" applyBorder="1" applyAlignment="1">
      <alignment horizontal="center" vertical="center"/>
    </xf>
    <xf numFmtId="0" fontId="13" fillId="0" borderId="143" xfId="0" applyFont="1" applyBorder="1" applyAlignment="1">
      <alignment horizontal="center" vertical="center"/>
    </xf>
    <xf numFmtId="0" fontId="13" fillId="0" borderId="145" xfId="0" applyFont="1" applyBorder="1" applyAlignment="1">
      <alignment horizontal="center" vertical="center"/>
    </xf>
    <xf numFmtId="0" fontId="2" fillId="0" borderId="132" xfId="0" applyFont="1" applyBorder="1" applyAlignment="1">
      <alignment horizontal="center" vertical="center" wrapText="1"/>
    </xf>
    <xf numFmtId="0" fontId="2" fillId="0" borderId="133" xfId="0" applyFont="1" applyBorder="1" applyAlignment="1">
      <alignment horizontal="center" vertical="center" wrapText="1"/>
    </xf>
    <xf numFmtId="0" fontId="3" fillId="0" borderId="132" xfId="0" applyFont="1" applyBorder="1" applyAlignment="1">
      <alignment horizontal="center"/>
    </xf>
    <xf numFmtId="0" fontId="8" fillId="0" borderId="158" xfId="0" applyFont="1" applyBorder="1" applyAlignment="1">
      <alignment horizontal="center"/>
    </xf>
    <xf numFmtId="0" fontId="3" fillId="0" borderId="159" xfId="0" applyFont="1" applyBorder="1" applyAlignment="1">
      <alignment horizontal="center"/>
    </xf>
    <xf numFmtId="0" fontId="5" fillId="0" borderId="160" xfId="0" applyFont="1" applyBorder="1" applyAlignment="1">
      <alignment horizontal="center" wrapText="1"/>
    </xf>
    <xf numFmtId="165" fontId="13" fillId="8" borderId="135" xfId="2" applyFont="1" applyFill="1" applyBorder="1" applyAlignment="1">
      <alignment horizontal="center" vertical="center"/>
    </xf>
    <xf numFmtId="165" fontId="13" fillId="8" borderId="137" xfId="2" applyFont="1" applyFill="1" applyBorder="1" applyAlignment="1">
      <alignment horizontal="center" vertical="center"/>
    </xf>
    <xf numFmtId="0" fontId="13" fillId="8" borderId="138" xfId="0" applyFont="1" applyFill="1" applyBorder="1" applyAlignment="1">
      <alignment horizontal="center" vertical="center"/>
    </xf>
    <xf numFmtId="169" fontId="13" fillId="8" borderId="138" xfId="2" applyNumberFormat="1" applyFont="1" applyFill="1" applyBorder="1" applyAlignment="1">
      <alignment horizontal="center" vertical="center"/>
    </xf>
    <xf numFmtId="0" fontId="13" fillId="0" borderId="141" xfId="0" applyFont="1" applyBorder="1"/>
    <xf numFmtId="0" fontId="13" fillId="0" borderId="161" xfId="0" applyFont="1" applyBorder="1" applyAlignment="1">
      <alignment horizontal="right"/>
    </xf>
    <xf numFmtId="0" fontId="0" fillId="0" borderId="158" xfId="0" applyBorder="1"/>
    <xf numFmtId="0" fontId="13" fillId="0" borderId="147" xfId="0" applyFont="1" applyBorder="1"/>
    <xf numFmtId="0" fontId="0" fillId="0" borderId="162" xfId="0" applyBorder="1"/>
    <xf numFmtId="0" fontId="13" fillId="8" borderId="114" xfId="0" applyFont="1" applyFill="1" applyBorder="1" applyAlignment="1">
      <alignment horizontal="center" vertical="center"/>
    </xf>
    <xf numFmtId="0" fontId="3" fillId="0" borderId="111" xfId="0" applyFont="1" applyBorder="1" applyAlignment="1">
      <alignment horizontal="center"/>
    </xf>
    <xf numFmtId="0" fontId="13" fillId="0" borderId="150" xfId="0" applyFont="1" applyBorder="1" applyAlignment="1">
      <alignment horizontal="center" vertical="center"/>
    </xf>
    <xf numFmtId="0" fontId="13" fillId="0" borderId="148" xfId="0" applyFont="1" applyBorder="1" applyAlignment="1">
      <alignment horizontal="center" vertical="center"/>
    </xf>
    <xf numFmtId="0" fontId="13" fillId="0" borderId="161" xfId="0" applyFont="1" applyBorder="1" applyAlignment="1">
      <alignment horizontal="center"/>
    </xf>
    <xf numFmtId="0" fontId="2" fillId="0" borderId="163" xfId="0" applyFont="1" applyBorder="1" applyAlignment="1">
      <alignment horizontal="center" vertical="center" wrapText="1"/>
    </xf>
    <xf numFmtId="0" fontId="3" fillId="0" borderId="133" xfId="0" applyFont="1" applyBorder="1" applyAlignment="1">
      <alignment horizontal="center"/>
    </xf>
    <xf numFmtId="0" fontId="3" fillId="0" borderId="164" xfId="0" applyFont="1" applyBorder="1" applyAlignment="1">
      <alignment horizontal="center"/>
    </xf>
    <xf numFmtId="0" fontId="5" fillId="0" borderId="134" xfId="0" applyFont="1" applyBorder="1" applyAlignment="1">
      <alignment horizontal="center" wrapText="1"/>
    </xf>
    <xf numFmtId="0" fontId="13" fillId="8" borderId="135" xfId="0" applyFont="1" applyFill="1" applyBorder="1" applyAlignment="1">
      <alignment horizontal="center" vertical="center"/>
    </xf>
    <xf numFmtId="0" fontId="13" fillId="8" borderId="137" xfId="0" applyFont="1" applyFill="1" applyBorder="1" applyAlignment="1">
      <alignment horizontal="center" vertical="center"/>
    </xf>
    <xf numFmtId="0" fontId="13" fillId="8" borderId="151" xfId="0" applyFont="1" applyFill="1" applyBorder="1" applyAlignment="1">
      <alignment horizontal="center" vertical="center"/>
    </xf>
    <xf numFmtId="0" fontId="13" fillId="0" borderId="152" xfId="0" applyFont="1" applyBorder="1" applyAlignment="1">
      <alignment horizontal="right"/>
    </xf>
    <xf numFmtId="0" fontId="2" fillId="0" borderId="132" xfId="0" applyFont="1" applyBorder="1" applyAlignment="1">
      <alignment vertical="center"/>
    </xf>
    <xf numFmtId="0" fontId="2" fillId="0" borderId="146" xfId="0" applyFont="1" applyBorder="1" applyAlignment="1">
      <alignment vertical="center"/>
    </xf>
    <xf numFmtId="0" fontId="30" fillId="0" borderId="147" xfId="0" applyFont="1" applyBorder="1" applyAlignment="1">
      <alignment vertical="center"/>
    </xf>
    <xf numFmtId="0" fontId="30" fillId="0" borderId="146" xfId="0" applyFont="1" applyBorder="1" applyAlignment="1">
      <alignment vertical="center"/>
    </xf>
    <xf numFmtId="0" fontId="13" fillId="0" borderId="146" xfId="0" applyFont="1" applyBorder="1" applyAlignment="1">
      <alignment horizontal="right"/>
    </xf>
    <xf numFmtId="0" fontId="2" fillId="0" borderId="166" xfId="0" applyFont="1" applyBorder="1" applyAlignment="1">
      <alignment vertical="center"/>
    </xf>
    <xf numFmtId="3" fontId="2" fillId="0" borderId="7" xfId="0" applyNumberFormat="1" applyFont="1" applyBorder="1" applyAlignment="1">
      <alignment horizontal="center" vertical="center"/>
    </xf>
    <xf numFmtId="0" fontId="3" fillId="0" borderId="167" xfId="0" applyFont="1" applyBorder="1" applyAlignment="1">
      <alignment vertical="center"/>
    </xf>
    <xf numFmtId="0" fontId="0" fillId="0" borderId="168" xfId="0" applyBorder="1"/>
    <xf numFmtId="0" fontId="13" fillId="0" borderId="169" xfId="0" applyFont="1" applyBorder="1" applyAlignment="1">
      <alignment horizontal="center" vertical="center"/>
    </xf>
    <xf numFmtId="0" fontId="13" fillId="0" borderId="170" xfId="0" applyFont="1" applyBorder="1" applyAlignment="1">
      <alignment horizontal="center"/>
    </xf>
    <xf numFmtId="0" fontId="2" fillId="0" borderId="171" xfId="0" applyFont="1" applyBorder="1" applyAlignment="1">
      <alignment horizontal="center" vertical="center" wrapText="1"/>
    </xf>
    <xf numFmtId="0" fontId="2" fillId="0" borderId="172" xfId="0" applyFont="1" applyBorder="1" applyAlignment="1">
      <alignment horizontal="center" vertical="center" wrapText="1"/>
    </xf>
    <xf numFmtId="0" fontId="3" fillId="0" borderId="173" xfId="0" applyFont="1" applyBorder="1" applyAlignment="1">
      <alignment horizontal="center"/>
    </xf>
    <xf numFmtId="0" fontId="3" fillId="0" borderId="174" xfId="0" applyFont="1" applyBorder="1" applyAlignment="1">
      <alignment horizontal="center"/>
    </xf>
    <xf numFmtId="0" fontId="3" fillId="0" borderId="175" xfId="0" applyFont="1" applyBorder="1" applyAlignment="1">
      <alignment horizontal="center" wrapText="1"/>
    </xf>
    <xf numFmtId="0" fontId="3" fillId="0" borderId="176" xfId="0" applyFont="1" applyBorder="1" applyAlignment="1">
      <alignment horizontal="center" wrapText="1"/>
    </xf>
    <xf numFmtId="165" fontId="13" fillId="8" borderId="177" xfId="2" applyFont="1" applyFill="1" applyBorder="1" applyAlignment="1">
      <alignment horizontal="center" vertical="center"/>
    </xf>
    <xf numFmtId="165" fontId="13" fillId="0" borderId="178" xfId="2" applyFont="1" applyBorder="1" applyAlignment="1">
      <alignment horizontal="center" vertical="center"/>
    </xf>
    <xf numFmtId="165" fontId="13" fillId="8" borderId="179" xfId="2" applyFont="1" applyFill="1" applyBorder="1" applyAlignment="1">
      <alignment horizontal="center" vertical="center"/>
    </xf>
    <xf numFmtId="165" fontId="13" fillId="0" borderId="180" xfId="2" applyFont="1" applyBorder="1" applyAlignment="1">
      <alignment horizontal="center" vertical="center"/>
    </xf>
    <xf numFmtId="0" fontId="13" fillId="0" borderId="169" xfId="0" applyFont="1" applyBorder="1" applyAlignment="1">
      <alignment horizontal="center"/>
    </xf>
    <xf numFmtId="0" fontId="0" fillId="0" borderId="173" xfId="0" applyBorder="1"/>
    <xf numFmtId="0" fontId="0" fillId="0" borderId="184" xfId="0" applyBorder="1"/>
    <xf numFmtId="0" fontId="0" fillId="0" borderId="185" xfId="0" applyBorder="1"/>
    <xf numFmtId="0" fontId="0" fillId="0" borderId="186" xfId="0" applyBorder="1"/>
    <xf numFmtId="0" fontId="13" fillId="0" borderId="181" xfId="0" applyFont="1" applyBorder="1" applyAlignment="1">
      <alignment horizontal="center"/>
    </xf>
    <xf numFmtId="0" fontId="3" fillId="0" borderId="187" xfId="0" applyFont="1" applyBorder="1" applyAlignment="1">
      <alignment horizontal="center"/>
    </xf>
    <xf numFmtId="0" fontId="13" fillId="0" borderId="188" xfId="0" applyFont="1" applyBorder="1" applyAlignment="1">
      <alignment horizontal="center" vertical="center"/>
    </xf>
    <xf numFmtId="0" fontId="13" fillId="0" borderId="190" xfId="0" applyFont="1" applyBorder="1" applyAlignment="1">
      <alignment horizontal="center" vertical="center"/>
    </xf>
    <xf numFmtId="0" fontId="2" fillId="0" borderId="191" xfId="0" applyFont="1" applyBorder="1" applyAlignment="1">
      <alignment horizontal="center" vertical="center" wrapText="1"/>
    </xf>
    <xf numFmtId="0" fontId="2" fillId="0" borderId="174" xfId="0" applyFont="1" applyBorder="1" applyAlignment="1">
      <alignment horizontal="center" vertical="center" wrapText="1"/>
    </xf>
    <xf numFmtId="0" fontId="8" fillId="0" borderId="184" xfId="0" applyFont="1" applyBorder="1" applyAlignment="1">
      <alignment horizontal="center"/>
    </xf>
    <xf numFmtId="0" fontId="3" fillId="0" borderId="175" xfId="0" applyFont="1" applyBorder="1" applyAlignment="1">
      <alignment horizontal="center"/>
    </xf>
    <xf numFmtId="0" fontId="3" fillId="0" borderId="176" xfId="0" applyFont="1" applyBorder="1" applyAlignment="1">
      <alignment horizontal="center"/>
    </xf>
    <xf numFmtId="165" fontId="13" fillId="0" borderId="192" xfId="2" applyFont="1" applyFill="1" applyBorder="1" applyAlignment="1">
      <alignment horizontal="center" vertical="center"/>
    </xf>
    <xf numFmtId="165" fontId="13" fillId="8" borderId="192" xfId="2" applyFont="1" applyFill="1" applyBorder="1" applyAlignment="1">
      <alignment horizontal="center" vertical="center"/>
    </xf>
    <xf numFmtId="168" fontId="13" fillId="0" borderId="192" xfId="1" applyNumberFormat="1" applyFont="1" applyFill="1" applyBorder="1" applyAlignment="1">
      <alignment horizontal="center" vertical="center"/>
    </xf>
    <xf numFmtId="0" fontId="0" fillId="0" borderId="194" xfId="0" applyBorder="1"/>
    <xf numFmtId="0" fontId="0" fillId="0" borderId="195" xfId="0" applyBorder="1"/>
    <xf numFmtId="0" fontId="0" fillId="0" borderId="193" xfId="0" applyBorder="1"/>
    <xf numFmtId="49" fontId="13" fillId="0" borderId="169" xfId="0" applyNumberFormat="1" applyFont="1" applyBorder="1" applyAlignment="1">
      <alignment horizontal="center" vertical="center"/>
    </xf>
    <xf numFmtId="49" fontId="13" fillId="0" borderId="190" xfId="0" applyNumberFormat="1" applyFont="1" applyBorder="1" applyAlignment="1">
      <alignment horizontal="center" vertical="center"/>
    </xf>
    <xf numFmtId="0" fontId="3" fillId="0" borderId="187" xfId="0" applyFont="1" applyBorder="1" applyAlignment="1">
      <alignment horizontal="center" vertical="center"/>
    </xf>
    <xf numFmtId="0" fontId="3" fillId="0" borderId="174" xfId="0" applyFont="1" applyBorder="1" applyAlignment="1">
      <alignment horizontal="center" vertical="center"/>
    </xf>
    <xf numFmtId="0" fontId="3" fillId="0" borderId="173" xfId="0" applyFont="1" applyBorder="1" applyAlignment="1">
      <alignment horizontal="center" vertical="center"/>
    </xf>
    <xf numFmtId="0" fontId="3" fillId="0" borderId="176" xfId="0" applyFont="1" applyBorder="1" applyAlignment="1">
      <alignment horizontal="center" vertical="center" wrapText="1"/>
    </xf>
    <xf numFmtId="171" fontId="31" fillId="6" borderId="177" xfId="2" applyNumberFormat="1" applyFont="1" applyFill="1" applyBorder="1" applyAlignment="1">
      <alignment horizontal="center" vertical="center"/>
    </xf>
    <xf numFmtId="171" fontId="31" fillId="6" borderId="179" xfId="2" applyNumberFormat="1" applyFont="1" applyFill="1" applyBorder="1" applyAlignment="1">
      <alignment horizontal="center" vertical="center"/>
    </xf>
    <xf numFmtId="0" fontId="2" fillId="0" borderId="13" xfId="0" applyFont="1" applyBorder="1" applyAlignment="1">
      <alignment horizontal="left"/>
    </xf>
    <xf numFmtId="168" fontId="13" fillId="0" borderId="18" xfId="1" applyNumberFormat="1" applyFont="1" applyBorder="1" applyAlignment="1">
      <alignment horizontal="center"/>
    </xf>
    <xf numFmtId="0" fontId="3" fillId="0" borderId="24" xfId="0" applyFont="1" applyBorder="1" applyAlignment="1">
      <alignment horizontal="left"/>
    </xf>
    <xf numFmtId="0" fontId="30" fillId="6" borderId="0" xfId="0" applyFont="1" applyFill="1"/>
    <xf numFmtId="0" fontId="3" fillId="7" borderId="0" xfId="0" applyFont="1" applyFill="1"/>
    <xf numFmtId="168" fontId="13" fillId="0" borderId="9" xfId="1" applyNumberFormat="1" applyFont="1" applyBorder="1" applyAlignment="1">
      <alignment horizontal="center"/>
    </xf>
    <xf numFmtId="0" fontId="0" fillId="0" borderId="54" xfId="0" applyBorder="1"/>
    <xf numFmtId="0" fontId="0" fillId="0" borderId="196" xfId="0" applyBorder="1"/>
    <xf numFmtId="0" fontId="13" fillId="0" borderId="15" xfId="0" applyFont="1" applyBorder="1" applyAlignment="1">
      <alignment horizontal="center"/>
    </xf>
    <xf numFmtId="49" fontId="13" fillId="0" borderId="0" xfId="0" applyNumberFormat="1" applyFont="1" applyAlignment="1">
      <alignment horizontal="center" vertical="center"/>
    </xf>
    <xf numFmtId="0" fontId="3" fillId="0" borderId="15" xfId="0" applyFont="1" applyBorder="1" applyAlignment="1">
      <alignment horizontal="left"/>
    </xf>
    <xf numFmtId="0" fontId="3" fillId="0" borderId="197" xfId="0" applyFont="1" applyBorder="1" applyAlignment="1">
      <alignment horizontal="left"/>
    </xf>
    <xf numFmtId="0" fontId="3" fillId="0" borderId="198" xfId="0" applyFont="1" applyBorder="1" applyAlignment="1">
      <alignment horizontal="left"/>
    </xf>
    <xf numFmtId="0" fontId="2" fillId="0" borderId="199" xfId="0" applyFont="1" applyBorder="1" applyAlignment="1">
      <alignment horizontal="left"/>
    </xf>
    <xf numFmtId="0" fontId="0" fillId="0" borderId="105" xfId="0" applyBorder="1"/>
    <xf numFmtId="0" fontId="0" fillId="0" borderId="200" xfId="0" applyBorder="1"/>
    <xf numFmtId="0" fontId="0" fillId="0" borderId="198" xfId="0" applyBorder="1"/>
    <xf numFmtId="0" fontId="0" fillId="0" borderId="197" xfId="0" applyBorder="1"/>
    <xf numFmtId="0" fontId="0" fillId="0" borderId="109" xfId="0" applyBorder="1"/>
    <xf numFmtId="0" fontId="0" fillId="0" borderId="17" xfId="0" applyBorder="1"/>
    <xf numFmtId="0" fontId="3" fillId="0" borderId="11" xfId="0" applyFont="1" applyBorder="1" applyAlignment="1">
      <alignment horizontal="left"/>
    </xf>
    <xf numFmtId="0" fontId="3" fillId="0" borderId="45"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197" xfId="0" applyFont="1" applyBorder="1"/>
    <xf numFmtId="0" fontId="3" fillId="0" borderId="101" xfId="0" applyFont="1" applyBorder="1" applyAlignment="1">
      <alignment horizontal="left"/>
    </xf>
    <xf numFmtId="0" fontId="0" fillId="0" borderId="201" xfId="0" applyBorder="1"/>
    <xf numFmtId="0" fontId="0" fillId="0" borderId="45" xfId="0" applyBorder="1"/>
    <xf numFmtId="0" fontId="0" fillId="0" borderId="101" xfId="0" applyBorder="1"/>
    <xf numFmtId="0" fontId="3" fillId="0" borderId="109" xfId="0" applyFont="1" applyBorder="1"/>
    <xf numFmtId="0" fontId="3" fillId="0" borderId="17" xfId="0" applyFont="1" applyBorder="1"/>
    <xf numFmtId="0" fontId="0" fillId="0" borderId="28" xfId="0" applyBorder="1"/>
    <xf numFmtId="0" fontId="2" fillId="0" borderId="46" xfId="0" applyFont="1" applyBorder="1" applyAlignment="1">
      <alignment vertical="center"/>
    </xf>
    <xf numFmtId="0" fontId="0" fillId="4" borderId="0" xfId="0" applyFill="1" applyAlignment="1">
      <alignment horizontal="center"/>
    </xf>
    <xf numFmtId="168" fontId="3" fillId="4" borderId="9" xfId="1" applyNumberFormat="1" applyFont="1" applyFill="1" applyBorder="1" applyAlignment="1">
      <alignment horizontal="center" vertical="center"/>
    </xf>
    <xf numFmtId="0" fontId="13" fillId="8" borderId="10" xfId="0" applyFont="1" applyFill="1" applyBorder="1" applyAlignment="1">
      <alignment horizontal="center" vertical="center"/>
    </xf>
    <xf numFmtId="0" fontId="13" fillId="8" borderId="22" xfId="0" applyFont="1" applyFill="1" applyBorder="1" applyAlignment="1">
      <alignment horizontal="center" vertical="center"/>
    </xf>
    <xf numFmtId="0" fontId="2" fillId="3" borderId="0" xfId="0" applyFont="1" applyFill="1"/>
    <xf numFmtId="0" fontId="2" fillId="0" borderId="24" xfId="0" applyFont="1" applyBorder="1" applyAlignment="1">
      <alignment horizontal="left"/>
    </xf>
    <xf numFmtId="0" fontId="0" fillId="0" borderId="202" xfId="0" applyBorder="1"/>
    <xf numFmtId="0" fontId="0" fillId="0" borderId="203" xfId="0" applyBorder="1"/>
    <xf numFmtId="0" fontId="13" fillId="0" borderId="170" xfId="0" applyFont="1" applyBorder="1" applyAlignment="1">
      <alignment horizontal="right"/>
    </xf>
    <xf numFmtId="49" fontId="13" fillId="0" borderId="204" xfId="0" applyNumberFormat="1" applyFont="1" applyBorder="1" applyAlignment="1">
      <alignment horizontal="center" vertical="center"/>
    </xf>
    <xf numFmtId="49" fontId="13" fillId="0" borderId="205" xfId="0" applyNumberFormat="1" applyFont="1" applyBorder="1" applyAlignment="1">
      <alignment horizontal="center" vertical="center"/>
    </xf>
    <xf numFmtId="49" fontId="13" fillId="0" borderId="150" xfId="0" applyNumberFormat="1" applyFont="1" applyBorder="1" applyAlignment="1">
      <alignment horizontal="center" vertical="center"/>
    </xf>
    <xf numFmtId="0" fontId="3" fillId="0" borderId="54" xfId="0" applyFont="1" applyBorder="1"/>
    <xf numFmtId="0" fontId="0" fillId="0" borderId="0" xfId="0" quotePrefix="1"/>
    <xf numFmtId="0" fontId="6" fillId="0" borderId="16" xfId="0" applyFont="1" applyBorder="1"/>
    <xf numFmtId="0" fontId="6" fillId="0" borderId="15" xfId="0" applyFont="1" applyBorder="1"/>
    <xf numFmtId="0" fontId="28" fillId="0" borderId="14" xfId="0" applyFont="1" applyBorder="1"/>
    <xf numFmtId="0" fontId="34" fillId="0" borderId="0" xfId="0" applyFont="1"/>
    <xf numFmtId="0" fontId="6" fillId="0" borderId="74" xfId="0" applyFont="1" applyBorder="1"/>
    <xf numFmtId="0" fontId="28" fillId="0" borderId="0" xfId="0" applyFont="1"/>
    <xf numFmtId="0" fontId="35" fillId="0" borderId="60" xfId="0" applyFont="1" applyBorder="1"/>
    <xf numFmtId="4" fontId="6" fillId="0" borderId="0" xfId="0" applyNumberFormat="1" applyFont="1"/>
    <xf numFmtId="0" fontId="28" fillId="0" borderId="60" xfId="0" applyFont="1" applyBorder="1"/>
    <xf numFmtId="0" fontId="6" fillId="0" borderId="65" xfId="0" applyFont="1" applyBorder="1"/>
    <xf numFmtId="0" fontId="6" fillId="0" borderId="13" xfId="0" applyFont="1" applyBorder="1"/>
    <xf numFmtId="0" fontId="28" fillId="0" borderId="13" xfId="0" applyFont="1" applyBorder="1"/>
    <xf numFmtId="0" fontId="35" fillId="0" borderId="64" xfId="0" applyFont="1" applyBorder="1"/>
    <xf numFmtId="4" fontId="6" fillId="0" borderId="15" xfId="0" applyNumberFormat="1" applyFont="1" applyBorder="1"/>
    <xf numFmtId="0" fontId="4" fillId="0" borderId="15" xfId="0" applyFont="1" applyBorder="1"/>
    <xf numFmtId="0" fontId="6" fillId="0" borderId="14" xfId="0" applyFont="1" applyBorder="1"/>
    <xf numFmtId="0" fontId="4" fillId="0" borderId="0" xfId="0" applyFont="1"/>
    <xf numFmtId="9" fontId="4" fillId="0" borderId="0" xfId="1" applyFont="1" applyBorder="1"/>
    <xf numFmtId="165" fontId="4" fillId="0" borderId="0" xfId="2" applyFont="1" applyBorder="1" applyAlignment="1">
      <alignment horizontal="right"/>
    </xf>
    <xf numFmtId="170" fontId="4" fillId="0" borderId="18" xfId="1" applyNumberFormat="1" applyFont="1" applyFill="1" applyBorder="1"/>
    <xf numFmtId="170" fontId="4" fillId="0" borderId="0" xfId="1" applyNumberFormat="1" applyFont="1" applyBorder="1"/>
    <xf numFmtId="4" fontId="6" fillId="0" borderId="0" xfId="2" applyNumberFormat="1" applyFont="1" applyBorder="1" applyAlignment="1">
      <alignment horizontal="right"/>
    </xf>
    <xf numFmtId="165" fontId="6" fillId="0" borderId="0" xfId="2" applyFont="1" applyBorder="1" applyAlignment="1">
      <alignment horizontal="right"/>
    </xf>
    <xf numFmtId="2" fontId="4" fillId="0" borderId="18" xfId="1" applyNumberFormat="1" applyFont="1" applyFill="1" applyBorder="1"/>
    <xf numFmtId="2" fontId="4" fillId="3" borderId="18" xfId="1" applyNumberFormat="1" applyFont="1" applyFill="1" applyBorder="1"/>
    <xf numFmtId="170" fontId="4" fillId="3" borderId="18" xfId="1" applyNumberFormat="1" applyFont="1" applyFill="1" applyBorder="1"/>
    <xf numFmtId="0" fontId="36" fillId="0" borderId="13" xfId="0" applyFont="1" applyBorder="1"/>
    <xf numFmtId="0" fontId="4" fillId="0" borderId="13" xfId="0" applyFont="1" applyBorder="1"/>
    <xf numFmtId="0" fontId="6" fillId="4" borderId="0" xfId="0" applyFont="1" applyFill="1"/>
    <xf numFmtId="0" fontId="36" fillId="0" borderId="0" xfId="0" applyFont="1" applyAlignment="1">
      <alignment horizontal="center" vertical="center"/>
    </xf>
    <xf numFmtId="0" fontId="6" fillId="0" borderId="0" xfId="0" applyFont="1" applyAlignment="1">
      <alignment horizontal="left" vertical="center"/>
    </xf>
    <xf numFmtId="0" fontId="36" fillId="0" borderId="0" xfId="0" applyFont="1" applyAlignment="1">
      <alignment vertical="center"/>
    </xf>
    <xf numFmtId="0" fontId="28" fillId="0" borderId="0" xfId="0" applyFont="1" applyAlignment="1">
      <alignment horizontal="left" vertical="center"/>
    </xf>
    <xf numFmtId="0" fontId="35" fillId="0" borderId="0" xfId="0" applyFont="1" applyAlignment="1">
      <alignment horizontal="left" vertical="center"/>
    </xf>
    <xf numFmtId="0" fontId="0" fillId="0" borderId="41" xfId="0" applyBorder="1"/>
    <xf numFmtId="0" fontId="29" fillId="0" borderId="40" xfId="0" applyFont="1" applyBorder="1" applyAlignment="1">
      <alignment horizontal="right" vertical="center"/>
    </xf>
    <xf numFmtId="49" fontId="30" fillId="6" borderId="126" xfId="0" applyNumberFormat="1" applyFont="1" applyFill="1" applyBorder="1" applyAlignment="1">
      <alignment horizontal="center" vertical="center"/>
    </xf>
    <xf numFmtId="49" fontId="3" fillId="8" borderId="18" xfId="0" applyNumberFormat="1" applyFont="1" applyFill="1" applyBorder="1" applyAlignment="1">
      <alignment horizontal="left" vertical="center"/>
    </xf>
    <xf numFmtId="172" fontId="31" fillId="6" borderId="42" xfId="0" applyNumberFormat="1" applyFont="1" applyFill="1" applyBorder="1" applyAlignment="1">
      <alignment horizontal="center" vertical="center"/>
    </xf>
    <xf numFmtId="172" fontId="13" fillId="8" borderId="42" xfId="0" applyNumberFormat="1" applyFont="1" applyFill="1" applyBorder="1" applyAlignment="1">
      <alignment horizontal="center" vertical="center"/>
    </xf>
    <xf numFmtId="173" fontId="13" fillId="8" borderId="42" xfId="2" applyNumberFormat="1" applyFont="1" applyFill="1" applyBorder="1" applyAlignment="1">
      <alignment horizontal="center" vertical="center"/>
    </xf>
    <xf numFmtId="173" fontId="13" fillId="8" borderId="138" xfId="2" applyNumberFormat="1" applyFont="1" applyFill="1" applyBorder="1" applyAlignment="1">
      <alignment horizontal="center" vertical="center"/>
    </xf>
    <xf numFmtId="173" fontId="13" fillId="0" borderId="42" xfId="2" applyNumberFormat="1" applyFont="1" applyFill="1" applyBorder="1" applyAlignment="1">
      <alignment horizontal="center" vertical="center"/>
    </xf>
    <xf numFmtId="173" fontId="13" fillId="0" borderId="138" xfId="2" applyNumberFormat="1" applyFont="1" applyFill="1" applyBorder="1" applyAlignment="1">
      <alignment horizontal="center" vertical="center"/>
    </xf>
    <xf numFmtId="173" fontId="13" fillId="0" borderId="10" xfId="2" applyNumberFormat="1" applyFont="1" applyFill="1" applyBorder="1" applyAlignment="1">
      <alignment horizontal="center" vertical="center"/>
    </xf>
    <xf numFmtId="173" fontId="13" fillId="0" borderId="149" xfId="2" applyNumberFormat="1" applyFont="1" applyFill="1" applyBorder="1" applyAlignment="1">
      <alignment horizontal="center" vertical="center"/>
    </xf>
    <xf numFmtId="172" fontId="31" fillId="6" borderId="42" xfId="2" applyNumberFormat="1" applyFont="1" applyFill="1" applyBorder="1" applyAlignment="1">
      <alignment horizontal="center" vertical="center"/>
    </xf>
    <xf numFmtId="172" fontId="31" fillId="6" borderId="138" xfId="2" applyNumberFormat="1" applyFont="1" applyFill="1" applyBorder="1" applyAlignment="1">
      <alignment horizontal="center" vertical="center"/>
    </xf>
    <xf numFmtId="172" fontId="31" fillId="6" borderId="43" xfId="0" applyNumberFormat="1" applyFont="1" applyFill="1" applyBorder="1" applyAlignment="1">
      <alignment horizontal="center" vertical="center"/>
    </xf>
    <xf numFmtId="172" fontId="13" fillId="8" borderId="121" xfId="0" applyNumberFormat="1" applyFont="1" applyFill="1" applyBorder="1" applyAlignment="1">
      <alignment horizontal="center" vertical="center"/>
    </xf>
    <xf numFmtId="173" fontId="13" fillId="0" borderId="209" xfId="2" applyNumberFormat="1" applyFont="1" applyFill="1" applyBorder="1" applyAlignment="1">
      <alignment horizontal="center" vertical="center"/>
    </xf>
    <xf numFmtId="173" fontId="13" fillId="8" borderId="209" xfId="2" applyNumberFormat="1" applyFont="1" applyFill="1" applyBorder="1" applyAlignment="1">
      <alignment horizontal="center" vertical="center"/>
    </xf>
    <xf numFmtId="168" fontId="13" fillId="0" borderId="209" xfId="1" applyNumberFormat="1" applyFont="1" applyFill="1" applyBorder="1" applyAlignment="1">
      <alignment horizontal="center" vertical="center"/>
    </xf>
    <xf numFmtId="174" fontId="2" fillId="0" borderId="18" xfId="2" applyNumberFormat="1" applyFont="1" applyBorder="1" applyAlignment="1">
      <alignment horizontal="center" vertical="center"/>
    </xf>
    <xf numFmtId="174" fontId="3" fillId="0" borderId="18" xfId="2" applyNumberFormat="1" applyFont="1" applyBorder="1" applyAlignment="1">
      <alignment horizontal="center" vertical="center"/>
    </xf>
    <xf numFmtId="174" fontId="3" fillId="8" borderId="18" xfId="2" applyNumberFormat="1" applyFont="1" applyFill="1" applyBorder="1" applyAlignment="1">
      <alignment horizontal="center"/>
    </xf>
    <xf numFmtId="174" fontId="3" fillId="8" borderId="18" xfId="2" applyNumberFormat="1" applyFont="1" applyFill="1" applyBorder="1" applyAlignment="1">
      <alignment horizontal="center" vertical="center"/>
    </xf>
    <xf numFmtId="174" fontId="3" fillId="8" borderId="20" xfId="2" applyNumberFormat="1" applyFont="1" applyFill="1" applyBorder="1" applyAlignment="1">
      <alignment horizontal="center" vertical="center"/>
    </xf>
    <xf numFmtId="174" fontId="2" fillId="0" borderId="63" xfId="2" applyNumberFormat="1" applyFont="1" applyBorder="1" applyAlignment="1">
      <alignment horizontal="center" vertical="center"/>
    </xf>
    <xf numFmtId="4" fontId="28" fillId="0" borderId="18" xfId="2" applyNumberFormat="1" applyFont="1" applyFill="1" applyBorder="1" applyAlignment="1">
      <alignment horizontal="right"/>
    </xf>
    <xf numFmtId="0" fontId="17" fillId="0" borderId="68" xfId="0" applyFont="1" applyBorder="1" applyAlignment="1">
      <alignment horizontal="center"/>
    </xf>
    <xf numFmtId="172" fontId="3" fillId="0" borderId="18" xfId="2" applyNumberFormat="1" applyFont="1" applyFill="1" applyBorder="1" applyAlignment="1">
      <alignment horizontal="center" vertical="center"/>
    </xf>
    <xf numFmtId="167" fontId="3" fillId="0" borderId="18" xfId="2" applyNumberFormat="1" applyFont="1" applyFill="1" applyBorder="1" applyAlignment="1">
      <alignment horizontal="center"/>
    </xf>
    <xf numFmtId="174" fontId="3" fillId="0" borderId="18" xfId="2" applyNumberFormat="1" applyFont="1" applyFill="1" applyBorder="1" applyAlignment="1">
      <alignment horizontal="center"/>
    </xf>
    <xf numFmtId="174" fontId="3" fillId="0" borderId="18" xfId="2" applyNumberFormat="1" applyFont="1" applyFill="1" applyBorder="1" applyAlignment="1">
      <alignment horizontal="center" vertical="center"/>
    </xf>
    <xf numFmtId="166" fontId="3" fillId="0" borderId="18" xfId="2" applyNumberFormat="1" applyFont="1" applyFill="1" applyBorder="1" applyAlignment="1">
      <alignment horizontal="center" vertical="center"/>
    </xf>
    <xf numFmtId="173" fontId="13" fillId="0" borderId="136" xfId="2" applyNumberFormat="1" applyFont="1" applyFill="1" applyBorder="1" applyAlignment="1">
      <alignment horizontal="center" vertical="center"/>
    </xf>
    <xf numFmtId="0" fontId="0" fillId="0" borderId="0" xfId="0" applyFill="1"/>
    <xf numFmtId="2" fontId="13" fillId="0" borderId="0" xfId="0" applyNumberFormat="1" applyFont="1" applyFill="1" applyAlignment="1">
      <alignment horizontal="center"/>
    </xf>
    <xf numFmtId="173" fontId="13" fillId="0" borderId="208" xfId="2" applyNumberFormat="1" applyFont="1" applyFill="1" applyBorder="1" applyAlignment="1">
      <alignment horizontal="center" vertical="center"/>
    </xf>
    <xf numFmtId="173" fontId="13" fillId="0" borderId="52" xfId="2" applyNumberFormat="1" applyFont="1" applyFill="1" applyBorder="1" applyAlignment="1"/>
    <xf numFmtId="173" fontId="13" fillId="0" borderId="155" xfId="2" applyNumberFormat="1" applyFont="1" applyFill="1" applyBorder="1" applyAlignment="1"/>
    <xf numFmtId="173" fontId="13" fillId="0" borderId="51" xfId="2" applyNumberFormat="1" applyFont="1" applyFill="1" applyBorder="1" applyAlignment="1">
      <alignment vertical="center"/>
    </xf>
    <xf numFmtId="173" fontId="13" fillId="0" borderId="153" xfId="2" applyNumberFormat="1" applyFont="1" applyFill="1" applyBorder="1" applyAlignment="1">
      <alignment vertical="center"/>
    </xf>
    <xf numFmtId="173" fontId="13" fillId="0" borderId="153" xfId="2" applyNumberFormat="1" applyFont="1" applyFill="1" applyBorder="1" applyAlignment="1"/>
    <xf numFmtId="173" fontId="13" fillId="0" borderId="157" xfId="2" applyNumberFormat="1" applyFont="1" applyFill="1" applyBorder="1" applyAlignment="1"/>
    <xf numFmtId="165" fontId="13" fillId="0" borderId="153" xfId="2" applyFont="1" applyFill="1" applyBorder="1" applyAlignment="1">
      <alignment vertical="center"/>
    </xf>
    <xf numFmtId="165" fontId="13" fillId="0" borderId="178" xfId="2" applyFont="1" applyFill="1" applyBorder="1" applyAlignment="1">
      <alignment horizontal="center" vertical="center"/>
    </xf>
    <xf numFmtId="173" fontId="13" fillId="0" borderId="139" xfId="2" applyNumberFormat="1" applyFont="1" applyFill="1" applyBorder="1" applyAlignment="1">
      <alignment horizontal="center" vertical="center"/>
    </xf>
    <xf numFmtId="165" fontId="13" fillId="0" borderId="180" xfId="2" applyFont="1" applyFill="1" applyBorder="1" applyAlignment="1">
      <alignment horizontal="center" vertical="center"/>
    </xf>
    <xf numFmtId="173" fontId="16" fillId="0" borderId="51" xfId="2" applyNumberFormat="1" applyFont="1" applyFill="1" applyBorder="1" applyAlignment="1">
      <alignment horizontal="center" vertical="center"/>
    </xf>
    <xf numFmtId="173" fontId="16" fillId="0" borderId="52" xfId="2" applyNumberFormat="1" applyFont="1" applyFill="1" applyBorder="1" applyAlignment="1">
      <alignment horizontal="center" vertical="center"/>
    </xf>
    <xf numFmtId="173" fontId="13" fillId="0" borderId="52" xfId="2" applyNumberFormat="1" applyFont="1" applyFill="1" applyBorder="1" applyAlignment="1">
      <alignment horizontal="center" vertical="center"/>
    </xf>
    <xf numFmtId="173" fontId="13" fillId="0" borderId="51" xfId="2" applyNumberFormat="1" applyFont="1" applyFill="1" applyBorder="1" applyAlignment="1">
      <alignment horizontal="center" vertical="center"/>
    </xf>
    <xf numFmtId="173" fontId="13" fillId="0" borderId="154" xfId="2" applyNumberFormat="1" applyFont="1" applyFill="1" applyBorder="1" applyAlignment="1">
      <alignment horizontal="center" vertical="center"/>
    </xf>
    <xf numFmtId="173" fontId="13" fillId="0" borderId="52" xfId="2" applyNumberFormat="1" applyFont="1" applyFill="1" applyBorder="1" applyAlignment="1">
      <alignment vertical="center"/>
    </xf>
    <xf numFmtId="173" fontId="13" fillId="0" borderId="153" xfId="2" applyNumberFormat="1" applyFont="1" applyFill="1" applyBorder="1" applyAlignment="1">
      <alignment horizontal="center" vertical="center"/>
    </xf>
    <xf numFmtId="165" fontId="13" fillId="0" borderId="183" xfId="2" applyFont="1" applyFill="1" applyBorder="1" applyAlignment="1">
      <alignment horizontal="center" vertical="center"/>
    </xf>
    <xf numFmtId="165" fontId="13" fillId="0" borderId="10" xfId="2" applyFont="1" applyFill="1" applyBorder="1" applyAlignment="1">
      <alignment horizontal="center" vertical="center"/>
    </xf>
    <xf numFmtId="165" fontId="13" fillId="0" borderId="136" xfId="2" applyFont="1" applyFill="1" applyBorder="1" applyAlignment="1">
      <alignment horizontal="center" vertical="center"/>
    </xf>
    <xf numFmtId="165" fontId="13" fillId="0" borderId="165" xfId="2" applyFont="1" applyFill="1" applyBorder="1" applyAlignment="1">
      <alignment horizontal="center" vertical="center"/>
    </xf>
    <xf numFmtId="165" fontId="13" fillId="0" borderId="149" xfId="2" applyFont="1" applyFill="1" applyBorder="1" applyAlignment="1">
      <alignment horizontal="center" vertical="center"/>
    </xf>
    <xf numFmtId="165" fontId="13" fillId="0" borderId="138" xfId="2" applyFont="1" applyFill="1" applyBorder="1" applyAlignment="1">
      <alignment horizontal="center" vertical="center"/>
    </xf>
    <xf numFmtId="165" fontId="13" fillId="0" borderId="139" xfId="2" applyFont="1" applyFill="1" applyBorder="1" applyAlignment="1">
      <alignment horizontal="center" vertical="center"/>
    </xf>
    <xf numFmtId="165" fontId="13" fillId="0" borderId="52" xfId="2" applyFont="1" applyFill="1" applyBorder="1" applyAlignment="1">
      <alignment horizontal="center"/>
    </xf>
    <xf numFmtId="165" fontId="13" fillId="0" borderId="153" xfId="2" applyFont="1" applyFill="1" applyBorder="1" applyAlignment="1">
      <alignment horizontal="center"/>
    </xf>
    <xf numFmtId="165" fontId="13" fillId="0" borderId="182" xfId="2" applyFont="1" applyFill="1" applyBorder="1" applyAlignment="1">
      <alignment horizontal="center"/>
    </xf>
    <xf numFmtId="165" fontId="13" fillId="0" borderId="183" xfId="2" applyFont="1" applyFill="1" applyBorder="1" applyAlignment="1">
      <alignment horizontal="center"/>
    </xf>
    <xf numFmtId="0" fontId="11" fillId="8" borderId="115" xfId="0" applyFont="1" applyFill="1" applyBorder="1" applyAlignment="1">
      <alignment horizontal="left" vertical="top" wrapText="1"/>
    </xf>
    <xf numFmtId="0" fontId="3" fillId="8" borderId="13" xfId="0" applyFont="1" applyFill="1" applyBorder="1" applyAlignment="1">
      <alignment horizontal="left" vertical="top"/>
    </xf>
    <xf numFmtId="0" fontId="3" fillId="8" borderId="28" xfId="0" applyFont="1" applyFill="1" applyBorder="1" applyAlignment="1">
      <alignment horizontal="left" vertical="top"/>
    </xf>
    <xf numFmtId="0" fontId="3" fillId="8" borderId="4" xfId="0" applyFont="1" applyFill="1" applyBorder="1" applyAlignment="1">
      <alignment horizontal="left" vertical="top"/>
    </xf>
    <xf numFmtId="0" fontId="3" fillId="8" borderId="0" xfId="0" applyFont="1" applyFill="1" applyAlignment="1">
      <alignment horizontal="left" vertical="top"/>
    </xf>
    <xf numFmtId="0" fontId="3" fillId="8" borderId="5" xfId="0" applyFont="1" applyFill="1" applyBorder="1" applyAlignment="1">
      <alignment horizontal="left" vertical="top"/>
    </xf>
    <xf numFmtId="0" fontId="3" fillId="8" borderId="6" xfId="0" applyFont="1" applyFill="1" applyBorder="1" applyAlignment="1">
      <alignment horizontal="left" vertical="top"/>
    </xf>
    <xf numFmtId="0" fontId="3" fillId="8" borderId="7" xfId="0" applyFont="1" applyFill="1" applyBorder="1" applyAlignment="1">
      <alignment horizontal="left" vertical="top"/>
    </xf>
    <xf numFmtId="0" fontId="3" fillId="8" borderId="8" xfId="0" applyFont="1" applyFill="1" applyBorder="1" applyAlignment="1">
      <alignment horizontal="left" vertical="top"/>
    </xf>
    <xf numFmtId="0" fontId="0" fillId="0" borderId="4" xfId="0" applyBorder="1" applyAlignment="1">
      <alignment horizontal="center" vertical="center" wrapText="1"/>
    </xf>
    <xf numFmtId="0" fontId="0" fillId="0" borderId="0" xfId="0"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22" fillId="0" borderId="102" xfId="0" applyFont="1" applyBorder="1" applyAlignment="1">
      <alignment horizontal="left" vertical="center"/>
    </xf>
    <xf numFmtId="0" fontId="22" fillId="0" borderId="40" xfId="0" applyFont="1" applyBorder="1" applyAlignment="1">
      <alignment horizontal="left" vertical="center"/>
    </xf>
    <xf numFmtId="0" fontId="22" fillId="0" borderId="41" xfId="0" applyFont="1" applyBorder="1" applyAlignment="1">
      <alignment horizontal="lef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3" xfId="0" applyFont="1" applyBorder="1" applyAlignment="1">
      <alignment horizontal="center" vertical="center"/>
    </xf>
    <xf numFmtId="0" fontId="1" fillId="0" borderId="8" xfId="0" applyFont="1" applyBorder="1" applyAlignment="1">
      <alignment horizontal="center" vertical="center"/>
    </xf>
    <xf numFmtId="0" fontId="3" fillId="8" borderId="31" xfId="0" applyFont="1" applyFill="1" applyBorder="1" applyAlignment="1">
      <alignment horizontal="left" vertical="center"/>
    </xf>
    <xf numFmtId="0" fontId="3" fillId="8" borderId="26" xfId="0" applyFont="1" applyFill="1" applyBorder="1" applyAlignment="1">
      <alignment horizontal="left" vertical="center"/>
    </xf>
    <xf numFmtId="0" fontId="3" fillId="8" borderId="27" xfId="0" applyFont="1" applyFill="1" applyBorder="1" applyAlignment="1">
      <alignment horizontal="left" vertical="center"/>
    </xf>
    <xf numFmtId="0" fontId="3" fillId="8" borderId="9" xfId="0" applyFont="1" applyFill="1" applyBorder="1" applyAlignment="1">
      <alignment horizontal="left" vertical="center"/>
    </xf>
    <xf numFmtId="0" fontId="3" fillId="8" borderId="10" xfId="0" applyFont="1" applyFill="1" applyBorder="1" applyAlignment="1">
      <alignment horizontal="left" vertical="center"/>
    </xf>
    <xf numFmtId="0" fontId="3" fillId="8" borderId="30" xfId="0" applyFont="1" applyFill="1" applyBorder="1" applyAlignment="1">
      <alignment horizontal="left" vertical="center"/>
    </xf>
    <xf numFmtId="0" fontId="33" fillId="10" borderId="2" xfId="0" applyFont="1" applyFill="1" applyBorder="1" applyAlignment="1">
      <alignment horizontal="center"/>
    </xf>
    <xf numFmtId="0" fontId="33" fillId="11" borderId="2" xfId="0" applyFont="1" applyFill="1" applyBorder="1" applyAlignment="1">
      <alignment horizontal="center"/>
    </xf>
    <xf numFmtId="49" fontId="30" fillId="6" borderId="9" xfId="0" applyNumberFormat="1" applyFont="1" applyFill="1" applyBorder="1" applyAlignment="1">
      <alignment horizontal="left" vertical="center"/>
    </xf>
    <xf numFmtId="0" fontId="30" fillId="6" borderId="10" xfId="0" applyFont="1" applyFill="1" applyBorder="1" applyAlignment="1">
      <alignment horizontal="left" vertical="center"/>
    </xf>
    <xf numFmtId="0" fontId="30" fillId="6" borderId="30" xfId="0" applyFont="1" applyFill="1" applyBorder="1" applyAlignment="1">
      <alignment horizontal="left" vertical="center"/>
    </xf>
    <xf numFmtId="0" fontId="22" fillId="0" borderId="102" xfId="0" quotePrefix="1" applyFont="1" applyBorder="1" applyAlignment="1">
      <alignment horizontal="left" vertical="center"/>
    </xf>
    <xf numFmtId="14" fontId="3" fillId="8" borderId="21" xfId="0" applyNumberFormat="1" applyFont="1" applyFill="1" applyBorder="1" applyAlignment="1">
      <alignment horizontal="left" vertical="center"/>
    </xf>
    <xf numFmtId="14" fontId="3" fillId="8" borderId="22" xfId="0" applyNumberFormat="1" applyFont="1" applyFill="1" applyBorder="1" applyAlignment="1">
      <alignment horizontal="left" vertical="center"/>
    </xf>
    <xf numFmtId="14" fontId="3" fillId="8" borderId="32" xfId="0" applyNumberFormat="1" applyFont="1" applyFill="1" applyBorder="1" applyAlignment="1">
      <alignment horizontal="left" vertical="center"/>
    </xf>
    <xf numFmtId="0" fontId="0" fillId="0" borderId="0" xfId="0" applyAlignment="1">
      <alignment horizontal="center"/>
    </xf>
    <xf numFmtId="0" fontId="3" fillId="8" borderId="115" xfId="0" applyFont="1" applyFill="1" applyBorder="1" applyAlignment="1">
      <alignment horizontal="left" vertical="top" wrapText="1"/>
    </xf>
    <xf numFmtId="0" fontId="3" fillId="8" borderId="54" xfId="0" applyFont="1" applyFill="1" applyBorder="1" applyAlignment="1">
      <alignment horizontal="left" vertical="top"/>
    </xf>
    <xf numFmtId="0" fontId="3" fillId="8" borderId="15" xfId="0" applyFont="1" applyFill="1" applyBorder="1" applyAlignment="1">
      <alignment horizontal="left" vertical="top"/>
    </xf>
    <xf numFmtId="0" fontId="3" fillId="8" borderId="196" xfId="0" applyFont="1" applyFill="1" applyBorder="1" applyAlignment="1">
      <alignment horizontal="left" vertical="top"/>
    </xf>
    <xf numFmtId="0" fontId="2" fillId="0" borderId="68" xfId="0" applyFont="1" applyBorder="1" applyAlignment="1">
      <alignment horizontal="center" vertical="center" wrapText="1"/>
    </xf>
    <xf numFmtId="49" fontId="13" fillId="0" borderId="143" xfId="0" applyNumberFormat="1" applyFont="1" applyBorder="1" applyAlignment="1">
      <alignment horizontal="center" vertical="center"/>
    </xf>
    <xf numFmtId="49" fontId="13" fillId="0" borderId="144" xfId="0" applyNumberFormat="1" applyFont="1" applyBorder="1" applyAlignment="1">
      <alignment horizontal="center" vertical="center"/>
    </xf>
    <xf numFmtId="0" fontId="30" fillId="11" borderId="0" xfId="0" applyFont="1" applyFill="1" applyAlignment="1">
      <alignment horizontal="center" vertical="center"/>
    </xf>
    <xf numFmtId="0" fontId="30" fillId="9" borderId="6" xfId="0" applyFont="1" applyFill="1" applyBorder="1" applyAlignment="1">
      <alignment horizontal="center" vertical="center"/>
    </xf>
    <xf numFmtId="0" fontId="30" fillId="9" borderId="7" xfId="0" applyFont="1" applyFill="1" applyBorder="1" applyAlignment="1">
      <alignment horizontal="center" vertical="center"/>
    </xf>
    <xf numFmtId="49" fontId="13" fillId="0" borderId="188" xfId="0" applyNumberFormat="1" applyFont="1" applyBorder="1" applyAlignment="1">
      <alignment horizontal="center" vertical="center"/>
    </xf>
    <xf numFmtId="49" fontId="13" fillId="0" borderId="189" xfId="0" applyNumberFormat="1" applyFont="1" applyBorder="1" applyAlignment="1">
      <alignment horizontal="center" vertical="center"/>
    </xf>
    <xf numFmtId="0" fontId="2" fillId="0" borderId="71" xfId="0" applyFont="1" applyBorder="1" applyAlignment="1">
      <alignment horizontal="center" vertical="center" wrapText="1"/>
    </xf>
    <xf numFmtId="0" fontId="2" fillId="0" borderId="62" xfId="0" applyFont="1" applyBorder="1" applyAlignment="1">
      <alignment horizontal="center" vertical="center" wrapText="1"/>
    </xf>
    <xf numFmtId="0" fontId="30" fillId="10" borderId="147"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3" fillId="8" borderId="1" xfId="0" applyFont="1" applyFill="1" applyBorder="1" applyAlignment="1">
      <alignment horizontal="left" vertical="top"/>
    </xf>
    <xf numFmtId="0" fontId="3" fillId="8" borderId="2" xfId="0" applyFont="1" applyFill="1" applyBorder="1" applyAlignment="1">
      <alignment horizontal="left" vertical="top"/>
    </xf>
    <xf numFmtId="0" fontId="3" fillId="8" borderId="3" xfId="0" applyFont="1" applyFill="1" applyBorder="1" applyAlignment="1">
      <alignment horizontal="left" vertical="top"/>
    </xf>
    <xf numFmtId="0" fontId="0" fillId="0" borderId="0" xfId="0" applyAlignment="1">
      <alignment horizontal="center" vertical="center" wrapText="1"/>
    </xf>
    <xf numFmtId="0" fontId="3" fillId="0" borderId="31" xfId="0" applyFont="1" applyBorder="1" applyAlignment="1">
      <alignment horizontal="left" vertical="center"/>
    </xf>
    <xf numFmtId="0" fontId="3" fillId="0" borderId="26" xfId="0" applyFont="1" applyBorder="1" applyAlignment="1">
      <alignment horizontal="left" vertical="center"/>
    </xf>
    <xf numFmtId="0" fontId="3" fillId="0" borderId="27"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30" xfId="0" applyFont="1" applyBorder="1" applyAlignment="1">
      <alignment horizontal="left" vertical="center"/>
    </xf>
    <xf numFmtId="14" fontId="3" fillId="0" borderId="21" xfId="0" applyNumberFormat="1" applyFont="1" applyBorder="1" applyAlignment="1">
      <alignment horizontal="left" vertical="center"/>
    </xf>
    <xf numFmtId="14" fontId="3" fillId="0" borderId="22" xfId="0" applyNumberFormat="1" applyFont="1" applyBorder="1" applyAlignment="1">
      <alignment horizontal="left" vertical="center"/>
    </xf>
    <xf numFmtId="14" fontId="3" fillId="0" borderId="32" xfId="0" applyNumberFormat="1" applyFont="1" applyBorder="1" applyAlignment="1">
      <alignment horizontal="left" vertical="center"/>
    </xf>
    <xf numFmtId="0" fontId="3" fillId="0" borderId="104" xfId="0" applyFont="1" applyBorder="1" applyAlignment="1">
      <alignment horizontal="left" vertical="center"/>
    </xf>
    <xf numFmtId="0" fontId="3" fillId="0" borderId="11" xfId="0" applyFont="1" applyBorder="1" applyAlignment="1">
      <alignment horizontal="left" vertical="center"/>
    </xf>
    <xf numFmtId="0" fontId="3" fillId="0" borderId="21" xfId="0" applyFont="1" applyBorder="1" applyAlignment="1">
      <alignment horizontal="left" vertical="center"/>
    </xf>
    <xf numFmtId="0" fontId="3" fillId="0" borderId="22" xfId="0" applyFont="1" applyBorder="1" applyAlignment="1">
      <alignment horizontal="left" vertical="center"/>
    </xf>
    <xf numFmtId="0" fontId="3" fillId="0" borderId="23" xfId="0" applyFont="1" applyBorder="1" applyAlignment="1">
      <alignment horizontal="left" vertical="center"/>
    </xf>
    <xf numFmtId="0" fontId="0" fillId="0" borderId="109" xfId="0" applyBorder="1" applyAlignment="1">
      <alignment horizontal="left"/>
    </xf>
    <xf numFmtId="0" fontId="0" fillId="0" borderId="12" xfId="0" applyBorder="1" applyAlignment="1">
      <alignment horizontal="left"/>
    </xf>
    <xf numFmtId="0" fontId="0" fillId="0" borderId="17" xfId="0" applyBorder="1" applyAlignment="1">
      <alignment horizontal="left"/>
    </xf>
    <xf numFmtId="0" fontId="0" fillId="0" borderId="116" xfId="0" applyBorder="1" applyAlignment="1">
      <alignment horizontal="left"/>
    </xf>
    <xf numFmtId="0" fontId="0" fillId="0" borderId="72" xfId="0" applyBorder="1" applyAlignment="1">
      <alignment horizontal="left"/>
    </xf>
    <xf numFmtId="0" fontId="0" fillId="0" borderId="47" xfId="0" applyBorder="1" applyAlignment="1">
      <alignment horizontal="left"/>
    </xf>
    <xf numFmtId="0" fontId="1" fillId="0" borderId="5" xfId="0" applyFont="1" applyBorder="1" applyAlignment="1">
      <alignment horizontal="center" vertical="center"/>
    </xf>
    <xf numFmtId="2" fontId="15" fillId="0" borderId="0" xfId="0" applyNumberFormat="1" applyFont="1" applyAlignment="1">
      <alignment horizontal="center" vertical="center" wrapText="1"/>
    </xf>
    <xf numFmtId="0" fontId="3" fillId="0" borderId="54" xfId="0" applyFont="1" applyBorder="1" applyAlignment="1">
      <alignment horizontal="left" vertical="center"/>
    </xf>
    <xf numFmtId="0" fontId="3" fillId="0" borderId="49" xfId="0" applyFont="1" applyBorder="1" applyAlignment="1">
      <alignment horizontal="left" vertical="center"/>
    </xf>
    <xf numFmtId="14" fontId="3" fillId="0" borderId="50" xfId="0" applyNumberFormat="1" applyFont="1" applyBorder="1" applyAlignment="1">
      <alignment horizontal="left" vertical="center"/>
    </xf>
    <xf numFmtId="0" fontId="13" fillId="0" borderId="143" xfId="0" applyFont="1" applyBorder="1" applyAlignment="1">
      <alignment horizontal="center" vertical="center"/>
    </xf>
    <xf numFmtId="0" fontId="13" fillId="0" borderId="144" xfId="0" applyFont="1" applyBorder="1" applyAlignment="1">
      <alignment horizontal="center" vertical="center"/>
    </xf>
    <xf numFmtId="0" fontId="13" fillId="0" borderId="188" xfId="0" applyFont="1" applyBorder="1" applyAlignment="1">
      <alignment horizontal="center" vertical="center"/>
    </xf>
    <xf numFmtId="0" fontId="13" fillId="0" borderId="189" xfId="0" applyFont="1" applyBorder="1" applyAlignment="1">
      <alignment horizontal="center" vertical="center"/>
    </xf>
    <xf numFmtId="0" fontId="30" fillId="11" borderId="193" xfId="0" applyFont="1" applyFill="1" applyBorder="1" applyAlignment="1">
      <alignment horizontal="center"/>
    </xf>
    <xf numFmtId="0" fontId="0" fillId="0" borderId="108" xfId="0" applyBorder="1" applyAlignment="1">
      <alignment horizontal="left"/>
    </xf>
    <xf numFmtId="0" fontId="0" fillId="0" borderId="2" xfId="0" applyBorder="1" applyAlignment="1">
      <alignment horizontal="left"/>
    </xf>
    <xf numFmtId="0" fontId="0" fillId="0" borderId="127" xfId="0" applyBorder="1" applyAlignment="1">
      <alignment horizontal="left"/>
    </xf>
    <xf numFmtId="0" fontId="30" fillId="9" borderId="39" xfId="0" applyFont="1" applyFill="1" applyBorder="1" applyAlignment="1">
      <alignment horizontal="center" vertical="center"/>
    </xf>
    <xf numFmtId="0" fontId="30" fillId="9" borderId="40" xfId="0" applyFont="1" applyFill="1" applyBorder="1" applyAlignment="1">
      <alignment horizontal="center" vertical="center"/>
    </xf>
    <xf numFmtId="0" fontId="13" fillId="0" borderId="141" xfId="0" applyFont="1" applyBorder="1" applyAlignment="1">
      <alignment horizontal="right"/>
    </xf>
    <xf numFmtId="0" fontId="13" fillId="8" borderId="1" xfId="0" quotePrefix="1" applyFont="1" applyFill="1" applyBorder="1" applyAlignment="1">
      <alignment horizontal="left" vertical="top" wrapText="1"/>
    </xf>
    <xf numFmtId="0" fontId="13" fillId="8" borderId="2" xfId="0" applyFont="1" applyFill="1" applyBorder="1" applyAlignment="1">
      <alignment horizontal="left" vertical="top"/>
    </xf>
    <xf numFmtId="0" fontId="13" fillId="8" borderId="3" xfId="0" applyFont="1" applyFill="1" applyBorder="1" applyAlignment="1">
      <alignment horizontal="left" vertical="top"/>
    </xf>
    <xf numFmtId="0" fontId="13" fillId="8" borderId="4" xfId="0" applyFont="1" applyFill="1" applyBorder="1" applyAlignment="1">
      <alignment horizontal="left" vertical="top"/>
    </xf>
    <xf numFmtId="0" fontId="13" fillId="8" borderId="0" xfId="0" applyFont="1" applyFill="1" applyAlignment="1">
      <alignment horizontal="left" vertical="top"/>
    </xf>
    <xf numFmtId="0" fontId="13" fillId="8" borderId="5" xfId="0" applyFont="1" applyFill="1" applyBorder="1" applyAlignment="1">
      <alignment horizontal="left" vertical="top"/>
    </xf>
    <xf numFmtId="0" fontId="13" fillId="8" borderId="6" xfId="0" applyFont="1" applyFill="1" applyBorder="1" applyAlignment="1">
      <alignment horizontal="left" vertical="top"/>
    </xf>
    <xf numFmtId="0" fontId="13" fillId="8" borderId="7" xfId="0" applyFont="1" applyFill="1" applyBorder="1" applyAlignment="1">
      <alignment horizontal="left" vertical="top"/>
    </xf>
    <xf numFmtId="0" fontId="13" fillId="8" borderId="8" xfId="0" applyFont="1" applyFill="1" applyBorder="1" applyAlignment="1">
      <alignment horizontal="left" vertical="top"/>
    </xf>
    <xf numFmtId="0" fontId="2" fillId="0" borderId="5" xfId="0" applyFont="1" applyBorder="1" applyAlignment="1">
      <alignment horizontal="center" vertical="center" wrapText="1"/>
    </xf>
    <xf numFmtId="0" fontId="13" fillId="8" borderId="2" xfId="0" quotePrefix="1" applyFont="1" applyFill="1" applyBorder="1" applyAlignment="1">
      <alignment horizontal="left" vertical="top" wrapText="1"/>
    </xf>
    <xf numFmtId="0" fontId="3" fillId="0" borderId="119" xfId="0" applyFont="1" applyBorder="1" applyAlignment="1">
      <alignment horizontal="left" vertical="center"/>
    </xf>
    <xf numFmtId="0" fontId="3" fillId="0" borderId="46" xfId="0" applyFont="1" applyBorder="1" applyAlignment="1">
      <alignment horizontal="left" vertical="center"/>
    </xf>
    <xf numFmtId="0" fontId="3" fillId="0" borderId="109" xfId="0" applyFont="1" applyBorder="1" applyAlignment="1">
      <alignment horizontal="left" vertical="center"/>
    </xf>
    <xf numFmtId="0" fontId="3" fillId="0" borderId="17" xfId="0" applyFont="1" applyBorder="1" applyAlignment="1">
      <alignment horizontal="left" vertical="center"/>
    </xf>
    <xf numFmtId="0" fontId="3" fillId="0" borderId="116" xfId="0" applyFont="1" applyBorder="1" applyAlignment="1">
      <alignment horizontal="left" vertical="center"/>
    </xf>
    <xf numFmtId="0" fontId="3" fillId="0" borderId="47" xfId="0" applyFont="1" applyBorder="1" applyAlignment="1">
      <alignment horizontal="left" vertical="center"/>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30" fillId="9" borderId="4" xfId="0" applyFont="1" applyFill="1" applyBorder="1" applyAlignment="1">
      <alignment horizontal="center" vertical="center"/>
    </xf>
    <xf numFmtId="0" fontId="30" fillId="9" borderId="0" xfId="0" applyFont="1" applyFill="1" applyAlignment="1">
      <alignment horizontal="center" vertical="center"/>
    </xf>
    <xf numFmtId="0" fontId="30" fillId="9" borderId="5" xfId="0" applyFont="1" applyFill="1" applyBorder="1" applyAlignment="1">
      <alignment horizontal="center" vertical="center"/>
    </xf>
    <xf numFmtId="0" fontId="30" fillId="10" borderId="4" xfId="0" applyFont="1" applyFill="1" applyBorder="1" applyAlignment="1">
      <alignment horizontal="center" vertical="center"/>
    </xf>
    <xf numFmtId="0" fontId="30" fillId="10" borderId="0" xfId="0" applyFont="1" applyFill="1" applyAlignment="1">
      <alignment horizontal="center" vertical="center"/>
    </xf>
    <xf numFmtId="0" fontId="7" fillId="0" borderId="71" xfId="0" applyFont="1" applyBorder="1" applyAlignment="1">
      <alignment horizontal="center"/>
    </xf>
    <xf numFmtId="0" fontId="7" fillId="0" borderId="12" xfId="0" applyFont="1" applyBorder="1" applyAlignment="1">
      <alignment horizontal="center"/>
    </xf>
    <xf numFmtId="0" fontId="7" fillId="0" borderId="53" xfId="0" applyFont="1" applyBorder="1" applyAlignment="1">
      <alignment horizontal="center"/>
    </xf>
    <xf numFmtId="0" fontId="0" fillId="8" borderId="9" xfId="0" applyFill="1" applyBorder="1" applyAlignment="1">
      <alignment horizontal="left" vertical="center"/>
    </xf>
    <xf numFmtId="0" fontId="0" fillId="8" borderId="10" xfId="0" applyFill="1" applyBorder="1" applyAlignment="1">
      <alignment horizontal="left" vertical="center"/>
    </xf>
    <xf numFmtId="0" fontId="0" fillId="8" borderId="11" xfId="0" applyFill="1" applyBorder="1" applyAlignment="1">
      <alignment horizontal="left" vertical="center"/>
    </xf>
    <xf numFmtId="0" fontId="3" fillId="0" borderId="26" xfId="0" applyFont="1" applyBorder="1" applyAlignment="1">
      <alignment horizontal="center"/>
    </xf>
    <xf numFmtId="0" fontId="30" fillId="6" borderId="64" xfId="0" applyFont="1" applyFill="1" applyBorder="1" applyAlignment="1">
      <alignment horizontal="center"/>
    </xf>
    <xf numFmtId="0" fontId="30" fillId="6" borderId="65" xfId="0" applyFont="1" applyFill="1" applyBorder="1" applyAlignment="1">
      <alignment horizontal="center"/>
    </xf>
    <xf numFmtId="0" fontId="3" fillId="8" borderId="14" xfId="0" applyFont="1" applyFill="1" applyBorder="1" applyAlignment="1">
      <alignment horizontal="center"/>
    </xf>
    <xf numFmtId="0" fontId="3" fillId="8" borderId="16" xfId="0" applyFont="1" applyFill="1" applyBorder="1" applyAlignment="1">
      <alignment horizontal="center"/>
    </xf>
    <xf numFmtId="0" fontId="3" fillId="0" borderId="21" xfId="0" applyFont="1" applyBorder="1" applyAlignment="1">
      <alignment horizontal="center"/>
    </xf>
    <xf numFmtId="0" fontId="3" fillId="0" borderId="23" xfId="0" applyFont="1" applyBorder="1" applyAlignment="1">
      <alignment horizontal="center"/>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0" xfId="0" applyFont="1" applyAlignment="1">
      <alignment horizontal="center" vertical="center" wrapText="1"/>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3" fillId="8" borderId="1" xfId="0" applyFont="1" applyFill="1" applyBorder="1" applyAlignment="1">
      <alignment horizontal="center" vertical="top"/>
    </xf>
    <xf numFmtId="0" fontId="3" fillId="8" borderId="2" xfId="0" applyFont="1" applyFill="1" applyBorder="1" applyAlignment="1">
      <alignment horizontal="center" vertical="top"/>
    </xf>
    <xf numFmtId="0" fontId="3" fillId="8" borderId="3" xfId="0" applyFont="1" applyFill="1" applyBorder="1" applyAlignment="1">
      <alignment horizontal="center" vertical="top"/>
    </xf>
    <xf numFmtId="0" fontId="3" fillId="8" borderId="4" xfId="0" applyFont="1" applyFill="1" applyBorder="1" applyAlignment="1">
      <alignment horizontal="center" vertical="top"/>
    </xf>
    <xf numFmtId="0" fontId="3" fillId="8" borderId="0" xfId="0" applyFont="1" applyFill="1" applyAlignment="1">
      <alignment horizontal="center" vertical="top"/>
    </xf>
    <xf numFmtId="0" fontId="3" fillId="8" borderId="5" xfId="0" applyFont="1" applyFill="1" applyBorder="1" applyAlignment="1">
      <alignment horizontal="center" vertical="top"/>
    </xf>
    <xf numFmtId="0" fontId="3" fillId="8" borderId="6" xfId="0" applyFont="1" applyFill="1" applyBorder="1" applyAlignment="1">
      <alignment horizontal="center" vertical="top"/>
    </xf>
    <xf numFmtId="0" fontId="3" fillId="8" borderId="7" xfId="0" applyFont="1" applyFill="1" applyBorder="1" applyAlignment="1">
      <alignment horizontal="center" vertical="top"/>
    </xf>
    <xf numFmtId="0" fontId="3" fillId="8" borderId="8" xfId="0" applyFont="1" applyFill="1" applyBorder="1" applyAlignment="1">
      <alignment horizontal="center" vertical="top"/>
    </xf>
    <xf numFmtId="0" fontId="38" fillId="0" borderId="1" xfId="0" applyFont="1" applyBorder="1" applyAlignment="1">
      <alignment horizontal="center" vertical="center" wrapText="1"/>
    </xf>
    <xf numFmtId="0" fontId="38" fillId="0" borderId="2" xfId="0" applyFont="1" applyBorder="1" applyAlignment="1">
      <alignment horizontal="center" vertical="center" wrapText="1"/>
    </xf>
    <xf numFmtId="0" fontId="38" fillId="0" borderId="3" xfId="0" applyFont="1" applyBorder="1" applyAlignment="1">
      <alignment horizontal="center" vertical="center" wrapText="1"/>
    </xf>
    <xf numFmtId="0" fontId="38" fillId="0" borderId="4" xfId="0" applyFont="1" applyBorder="1" applyAlignment="1">
      <alignment horizontal="center" vertical="center" wrapText="1"/>
    </xf>
    <xf numFmtId="0" fontId="38" fillId="0" borderId="0" xfId="0" applyFont="1" applyAlignment="1">
      <alignment horizontal="center" vertical="center" wrapText="1"/>
    </xf>
    <xf numFmtId="0" fontId="38" fillId="0" borderId="5" xfId="0" applyFont="1" applyBorder="1" applyAlignment="1">
      <alignment horizontal="center" vertical="center" wrapText="1"/>
    </xf>
    <xf numFmtId="0" fontId="38" fillId="0" borderId="6" xfId="0" applyFont="1" applyBorder="1" applyAlignment="1">
      <alignment horizontal="center" vertical="center" wrapText="1"/>
    </xf>
    <xf numFmtId="0" fontId="38" fillId="0" borderId="7" xfId="0" applyFont="1" applyBorder="1" applyAlignment="1">
      <alignment horizontal="center" vertical="center" wrapText="1"/>
    </xf>
    <xf numFmtId="0" fontId="38" fillId="0" borderId="8" xfId="0" applyFont="1" applyBorder="1" applyAlignment="1">
      <alignment horizontal="center" vertical="center" wrapText="1"/>
    </xf>
    <xf numFmtId="0" fontId="3" fillId="12" borderId="64" xfId="0" applyFont="1" applyFill="1" applyBorder="1" applyAlignment="1">
      <alignment horizontal="center"/>
    </xf>
    <xf numFmtId="0" fontId="3" fillId="12" borderId="65" xfId="0" applyFont="1" applyFill="1" applyBorder="1" applyAlignment="1">
      <alignment horizontal="center"/>
    </xf>
    <xf numFmtId="0" fontId="3" fillId="3" borderId="60" xfId="0" applyFont="1" applyFill="1" applyBorder="1" applyAlignment="1">
      <alignment horizontal="center"/>
    </xf>
    <xf numFmtId="0" fontId="3" fillId="3" borderId="74" xfId="0" applyFont="1" applyFill="1" applyBorder="1" applyAlignment="1">
      <alignment horizontal="center"/>
    </xf>
    <xf numFmtId="0" fontId="3" fillId="0" borderId="61" xfId="0" applyFont="1" applyBorder="1" applyAlignment="1">
      <alignment horizontal="center"/>
    </xf>
    <xf numFmtId="0" fontId="3" fillId="0" borderId="206" xfId="0" applyFont="1" applyBorder="1" applyAlignment="1">
      <alignment horizontal="center"/>
    </xf>
    <xf numFmtId="0" fontId="37" fillId="0" borderId="0" xfId="0" applyFont="1" applyAlignment="1">
      <alignment horizontal="center" wrapText="1"/>
    </xf>
    <xf numFmtId="0" fontId="37" fillId="0" borderId="0" xfId="0" applyFont="1" applyAlignment="1">
      <alignment horizontal="center"/>
    </xf>
    <xf numFmtId="0" fontId="6" fillId="3" borderId="9" xfId="0" applyFont="1" applyFill="1" applyBorder="1" applyAlignment="1">
      <alignment horizontal="left" vertical="center"/>
    </xf>
    <xf numFmtId="0" fontId="6" fillId="3" borderId="10" xfId="0" applyFont="1" applyFill="1" applyBorder="1" applyAlignment="1">
      <alignment horizontal="left" vertical="center"/>
    </xf>
    <xf numFmtId="0" fontId="6" fillId="3" borderId="11" xfId="0" applyFont="1" applyFill="1" applyBorder="1" applyAlignment="1">
      <alignment horizontal="left" vertical="center"/>
    </xf>
    <xf numFmtId="0" fontId="6" fillId="0" borderId="0" xfId="0" applyFont="1" applyAlignment="1">
      <alignment horizontal="center"/>
    </xf>
    <xf numFmtId="0" fontId="8" fillId="3" borderId="1" xfId="0" applyFont="1" applyFill="1" applyBorder="1" applyAlignment="1">
      <alignment horizontal="left" vertical="top" wrapText="1"/>
    </xf>
    <xf numFmtId="0" fontId="8" fillId="3" borderId="2" xfId="0" applyFont="1" applyFill="1" applyBorder="1" applyAlignment="1">
      <alignment horizontal="left" vertical="top"/>
    </xf>
    <xf numFmtId="0" fontId="8" fillId="3" borderId="3" xfId="0" applyFont="1" applyFill="1" applyBorder="1" applyAlignment="1">
      <alignment horizontal="left" vertical="top"/>
    </xf>
    <xf numFmtId="0" fontId="8" fillId="3" borderId="4" xfId="0" applyFont="1" applyFill="1" applyBorder="1" applyAlignment="1">
      <alignment horizontal="left" vertical="top"/>
    </xf>
    <xf numFmtId="0" fontId="8" fillId="3" borderId="0" xfId="0" applyFont="1" applyFill="1" applyAlignment="1">
      <alignment horizontal="left" vertical="top"/>
    </xf>
    <xf numFmtId="0" fontId="8" fillId="3" borderId="5" xfId="0" applyFont="1" applyFill="1" applyBorder="1" applyAlignment="1">
      <alignment horizontal="left" vertical="top"/>
    </xf>
    <xf numFmtId="0" fontId="8" fillId="3" borderId="6" xfId="0" applyFont="1" applyFill="1" applyBorder="1" applyAlignment="1">
      <alignment horizontal="left" vertical="top"/>
    </xf>
    <xf numFmtId="0" fontId="8" fillId="3" borderId="7" xfId="0" applyFont="1" applyFill="1" applyBorder="1" applyAlignment="1">
      <alignment horizontal="left" vertical="top"/>
    </xf>
    <xf numFmtId="0" fontId="8" fillId="3" borderId="8" xfId="0" applyFont="1" applyFill="1" applyBorder="1" applyAlignment="1">
      <alignment horizontal="left" vertical="top"/>
    </xf>
    <xf numFmtId="0" fontId="0" fillId="0" borderId="89" xfId="0" applyBorder="1" applyAlignment="1">
      <alignment horizontal="center" vertical="center"/>
    </xf>
    <xf numFmtId="0" fontId="0" fillId="0" borderId="90" xfId="0" applyBorder="1" applyAlignment="1">
      <alignment horizontal="center" vertical="center"/>
    </xf>
    <xf numFmtId="0" fontId="3" fillId="0" borderId="71" xfId="0" applyFont="1" applyBorder="1" applyAlignment="1">
      <alignment horizontal="left" vertical="center"/>
    </xf>
    <xf numFmtId="0" fontId="3" fillId="0" borderId="62" xfId="0" applyFont="1" applyBorder="1" applyAlignment="1">
      <alignment horizontal="left" vertical="center"/>
    </xf>
    <xf numFmtId="0" fontId="3" fillId="0" borderId="66" xfId="0" applyFont="1" applyBorder="1" applyAlignment="1">
      <alignment horizontal="left" vertical="center"/>
    </xf>
    <xf numFmtId="0" fontId="3" fillId="0" borderId="67" xfId="0" applyFont="1" applyBorder="1" applyAlignment="1">
      <alignment horizontal="left" vertical="center"/>
    </xf>
    <xf numFmtId="0" fontId="3" fillId="0" borderId="52" xfId="0" applyFont="1" applyBorder="1" applyAlignment="1">
      <alignment horizontal="left" vertical="center" wrapText="1"/>
    </xf>
    <xf numFmtId="0" fontId="3" fillId="0" borderId="12" xfId="0" applyFont="1" applyBorder="1" applyAlignment="1">
      <alignment horizontal="left" vertical="center" wrapText="1"/>
    </xf>
    <xf numFmtId="0" fontId="3" fillId="0" borderId="53" xfId="0" applyFont="1" applyBorder="1" applyAlignment="1">
      <alignment horizontal="left" vertical="center" wrapText="1"/>
    </xf>
    <xf numFmtId="0" fontId="2" fillId="0" borderId="51" xfId="0" applyFont="1" applyBorder="1" applyAlignment="1">
      <alignment horizontal="center" vertical="center" wrapText="1"/>
    </xf>
    <xf numFmtId="0" fontId="2" fillId="0" borderId="51" xfId="0" applyFont="1" applyBorder="1" applyAlignment="1">
      <alignment horizontal="center" vertical="center"/>
    </xf>
    <xf numFmtId="0" fontId="2" fillId="0" borderId="80" xfId="0" applyFont="1" applyBorder="1" applyAlignment="1">
      <alignment horizontal="center" vertical="center"/>
    </xf>
    <xf numFmtId="0" fontId="3" fillId="0" borderId="51" xfId="0" applyFont="1" applyBorder="1" applyAlignment="1">
      <alignment horizontal="left" vertical="center" wrapText="1"/>
    </xf>
    <xf numFmtId="0" fontId="3" fillId="0" borderId="51" xfId="0" applyFont="1" applyBorder="1" applyAlignment="1">
      <alignment horizontal="left" vertical="center"/>
    </xf>
    <xf numFmtId="0" fontId="3" fillId="0" borderId="80" xfId="0" applyFont="1" applyBorder="1" applyAlignment="1">
      <alignment horizontal="left" vertical="center"/>
    </xf>
    <xf numFmtId="0" fontId="0" fillId="0" borderId="79" xfId="0" applyBorder="1" applyAlignment="1">
      <alignment horizontal="center" vertical="center"/>
    </xf>
    <xf numFmtId="0" fontId="8" fillId="0" borderId="51" xfId="0" applyFont="1" applyBorder="1" applyAlignment="1">
      <alignment horizontal="left" vertical="center" wrapText="1"/>
    </xf>
    <xf numFmtId="0" fontId="8" fillId="0" borderId="51" xfId="0" applyFont="1" applyBorder="1" applyAlignment="1">
      <alignment horizontal="left" vertical="center"/>
    </xf>
    <xf numFmtId="0" fontId="8" fillId="0" borderId="80" xfId="0" applyFont="1" applyBorder="1" applyAlignment="1">
      <alignment horizontal="left" vertical="center"/>
    </xf>
    <xf numFmtId="0" fontId="3" fillId="0" borderId="82" xfId="0" applyFont="1" applyBorder="1" applyAlignment="1">
      <alignment horizontal="left" vertical="center"/>
    </xf>
    <xf numFmtId="0" fontId="2" fillId="0" borderId="82" xfId="0" applyFont="1" applyBorder="1" applyAlignment="1">
      <alignment horizontal="center" vertical="center" wrapText="1"/>
    </xf>
    <xf numFmtId="0" fontId="2" fillId="0" borderId="83" xfId="0" applyFont="1" applyBorder="1" applyAlignment="1">
      <alignment horizontal="center" vertical="center" wrapText="1"/>
    </xf>
    <xf numFmtId="0" fontId="3" fillId="0" borderId="52" xfId="0" applyFont="1" applyBorder="1" applyAlignment="1">
      <alignment horizontal="left" vertical="center"/>
    </xf>
    <xf numFmtId="0" fontId="3" fillId="0" borderId="12" xfId="0" applyFont="1" applyBorder="1" applyAlignment="1">
      <alignment horizontal="left" vertical="center"/>
    </xf>
    <xf numFmtId="0" fontId="2" fillId="0" borderId="80" xfId="0" applyFont="1" applyBorder="1" applyAlignment="1">
      <alignment horizontal="center" vertical="center" wrapText="1"/>
    </xf>
    <xf numFmtId="0" fontId="21" fillId="0" borderId="9" xfId="0" applyFont="1" applyBorder="1" applyAlignment="1">
      <alignment horizontal="center"/>
    </xf>
    <xf numFmtId="0" fontId="21" fillId="0" borderId="10" xfId="0" applyFont="1" applyBorder="1" applyAlignment="1">
      <alignment horizontal="center"/>
    </xf>
    <xf numFmtId="0" fontId="21" fillId="0" borderId="11" xfId="0" applyFont="1" applyBorder="1" applyAlignment="1">
      <alignment horizontal="center"/>
    </xf>
    <xf numFmtId="0" fontId="17" fillId="0" borderId="68" xfId="0" applyFont="1" applyBorder="1" applyAlignment="1">
      <alignment horizontal="center"/>
    </xf>
    <xf numFmtId="0" fontId="17" fillId="0" borderId="71" xfId="0" applyFont="1" applyBorder="1" applyAlignment="1">
      <alignment horizontal="center"/>
    </xf>
    <xf numFmtId="0" fontId="17" fillId="0" borderId="29" xfId="0" applyFont="1" applyBorder="1" applyAlignment="1">
      <alignment horizontal="center"/>
    </xf>
    <xf numFmtId="0" fontId="17" fillId="0" borderId="62" xfId="0" applyFont="1" applyBorder="1" applyAlignment="1">
      <alignment horizontal="center"/>
    </xf>
    <xf numFmtId="0" fontId="3" fillId="0" borderId="83" xfId="0" applyFont="1" applyBorder="1" applyAlignment="1">
      <alignment horizontal="left" vertical="center"/>
    </xf>
    <xf numFmtId="0" fontId="2" fillId="0" borderId="51" xfId="0" applyFont="1" applyBorder="1" applyAlignment="1">
      <alignment horizontal="left" vertical="center"/>
    </xf>
    <xf numFmtId="0" fontId="3" fillId="0" borderId="51" xfId="0" applyFont="1" applyBorder="1" applyAlignment="1">
      <alignment horizontal="center" vertical="center"/>
    </xf>
    <xf numFmtId="0" fontId="3" fillId="0" borderId="80" xfId="0" applyFont="1" applyBorder="1" applyAlignment="1">
      <alignment horizontal="center" vertical="center"/>
    </xf>
    <xf numFmtId="0" fontId="2" fillId="0" borderId="52" xfId="0" applyFont="1" applyBorder="1" applyAlignment="1">
      <alignment horizontal="center" vertical="center" wrapText="1"/>
    </xf>
    <xf numFmtId="0" fontId="2" fillId="0" borderId="12" xfId="0" applyFont="1" applyBorder="1" applyAlignment="1">
      <alignment horizontal="center" vertical="center"/>
    </xf>
    <xf numFmtId="0" fontId="2" fillId="0" borderId="17" xfId="0" applyFont="1" applyBorder="1" applyAlignment="1">
      <alignment horizontal="center" vertical="center"/>
    </xf>
    <xf numFmtId="0" fontId="3" fillId="0" borderId="17" xfId="0" applyFont="1" applyBorder="1" applyAlignment="1">
      <alignment horizontal="left" vertical="center" wrapText="1"/>
    </xf>
    <xf numFmtId="0" fontId="0" fillId="0" borderId="91" xfId="0" applyBorder="1" applyAlignment="1">
      <alignment horizontal="center" vertical="center"/>
    </xf>
    <xf numFmtId="0" fontId="3" fillId="0" borderId="44" xfId="0" applyFont="1" applyBorder="1" applyAlignment="1">
      <alignment horizontal="left" vertical="center"/>
    </xf>
    <xf numFmtId="0" fontId="3" fillId="0" borderId="58" xfId="0" applyFont="1" applyBorder="1" applyAlignment="1">
      <alignment horizontal="left" vertical="center"/>
    </xf>
    <xf numFmtId="0" fontId="3" fillId="0" borderId="71" xfId="0" applyFont="1" applyBorder="1" applyAlignment="1">
      <alignment horizontal="left" vertical="center" wrapText="1"/>
    </xf>
    <xf numFmtId="0" fontId="3" fillId="0" borderId="29" xfId="0" applyFont="1" applyBorder="1" applyAlignment="1">
      <alignment horizontal="left" vertical="center" wrapText="1"/>
    </xf>
    <xf numFmtId="0" fontId="3" fillId="0" borderId="66" xfId="0" applyFont="1" applyBorder="1" applyAlignment="1">
      <alignment horizontal="left" vertical="center" wrapText="1"/>
    </xf>
    <xf numFmtId="0" fontId="3" fillId="0" borderId="24" xfId="0" applyFont="1" applyBorder="1" applyAlignment="1">
      <alignment horizontal="left" vertical="center" wrapText="1"/>
    </xf>
    <xf numFmtId="0" fontId="3" fillId="0" borderId="52"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53" xfId="0" applyFont="1" applyBorder="1" applyAlignment="1">
      <alignment horizontal="left" vertical="center"/>
    </xf>
    <xf numFmtId="0" fontId="2" fillId="0" borderId="52" xfId="0" applyFont="1" applyBorder="1" applyAlignment="1">
      <alignment horizontal="center" vertical="center"/>
    </xf>
    <xf numFmtId="0" fontId="2" fillId="0" borderId="52" xfId="0" applyFont="1" applyBorder="1" applyAlignment="1">
      <alignment horizontal="left" vertical="center"/>
    </xf>
    <xf numFmtId="0" fontId="2" fillId="0" borderId="53" xfId="0" applyFont="1" applyBorder="1" applyAlignment="1">
      <alignment horizontal="left" vertical="center"/>
    </xf>
    <xf numFmtId="0" fontId="3" fillId="0" borderId="52" xfId="0" applyFont="1" applyBorder="1" applyAlignment="1">
      <alignment horizontal="center" vertical="center"/>
    </xf>
    <xf numFmtId="0" fontId="3" fillId="0" borderId="12" xfId="0" applyFont="1" applyBorder="1" applyAlignment="1">
      <alignment horizontal="center" vertical="center"/>
    </xf>
    <xf numFmtId="0" fontId="3" fillId="0" borderId="17" xfId="0" applyFont="1" applyBorder="1" applyAlignment="1">
      <alignment horizontal="center" vertical="center"/>
    </xf>
    <xf numFmtId="0" fontId="17" fillId="0" borderId="0" xfId="0" applyFont="1" applyAlignment="1">
      <alignment horizontal="center"/>
    </xf>
    <xf numFmtId="0" fontId="3" fillId="0" borderId="77" xfId="0" applyFont="1" applyBorder="1" applyAlignment="1">
      <alignment horizontal="left"/>
    </xf>
    <xf numFmtId="0" fontId="3" fillId="0" borderId="77" xfId="0" applyFont="1" applyBorder="1" applyAlignment="1">
      <alignment horizontal="center"/>
    </xf>
    <xf numFmtId="0" fontId="3" fillId="0" borderId="78" xfId="0" applyFont="1" applyBorder="1" applyAlignment="1">
      <alignment horizontal="center"/>
    </xf>
    <xf numFmtId="0" fontId="3" fillId="0" borderId="82" xfId="0" applyFont="1" applyBorder="1" applyAlignment="1">
      <alignment horizontal="left" vertical="center" wrapText="1"/>
    </xf>
    <xf numFmtId="0" fontId="3" fillId="0" borderId="83" xfId="0" applyFont="1" applyBorder="1" applyAlignment="1">
      <alignment horizontal="left" vertical="center" wrapText="1"/>
    </xf>
    <xf numFmtId="0" fontId="3" fillId="0" borderId="51" xfId="0" applyFont="1" applyBorder="1" applyAlignment="1">
      <alignment vertical="center"/>
    </xf>
    <xf numFmtId="0" fontId="3" fillId="0" borderId="80" xfId="0" applyFont="1" applyBorder="1" applyAlignment="1">
      <alignment vertical="center"/>
    </xf>
    <xf numFmtId="0" fontId="17" fillId="0" borderId="55" xfId="0" applyFont="1" applyBorder="1" applyAlignment="1">
      <alignment horizontal="center"/>
    </xf>
    <xf numFmtId="0" fontId="17" fillId="0" borderId="56" xfId="0" applyFont="1" applyBorder="1" applyAlignment="1">
      <alignment horizontal="center"/>
    </xf>
    <xf numFmtId="0" fontId="17" fillId="0" borderId="44" xfId="0" applyFont="1" applyBorder="1" applyAlignment="1">
      <alignment horizontal="center"/>
    </xf>
    <xf numFmtId="0" fontId="3" fillId="0" borderId="85" xfId="0" applyFont="1" applyBorder="1" applyAlignment="1">
      <alignment horizontal="left" vertical="center"/>
    </xf>
    <xf numFmtId="0" fontId="3" fillId="0" borderId="86" xfId="0" applyFont="1" applyBorder="1" applyAlignment="1">
      <alignment horizontal="left" vertical="center"/>
    </xf>
    <xf numFmtId="0" fontId="3" fillId="0" borderId="77" xfId="0" applyFont="1" applyBorder="1" applyAlignment="1">
      <alignment horizontal="left" vertical="center" wrapText="1"/>
    </xf>
    <xf numFmtId="0" fontId="2" fillId="0" borderId="77" xfId="0" applyFont="1" applyBorder="1" applyAlignment="1">
      <alignment horizontal="center" vertical="center"/>
    </xf>
    <xf numFmtId="0" fontId="2" fillId="0" borderId="78" xfId="0" applyFont="1" applyBorder="1" applyAlignment="1">
      <alignment horizontal="center" vertical="center"/>
    </xf>
    <xf numFmtId="0" fontId="3" fillId="0" borderId="80" xfId="0" applyFont="1" applyBorder="1" applyAlignment="1">
      <alignment horizontal="left" vertical="center" wrapText="1"/>
    </xf>
    <xf numFmtId="0" fontId="2" fillId="0" borderId="12" xfId="0" applyFont="1" applyBorder="1" applyAlignment="1">
      <alignment horizontal="center" vertical="center" wrapText="1"/>
    </xf>
    <xf numFmtId="0" fontId="2" fillId="0" borderId="17" xfId="0" applyFont="1" applyBorder="1" applyAlignment="1">
      <alignment horizontal="center" vertical="center" wrapText="1"/>
    </xf>
    <xf numFmtId="0" fontId="3" fillId="0" borderId="77" xfId="0" applyFont="1" applyBorder="1" applyAlignment="1">
      <alignment horizontal="left" vertical="center"/>
    </xf>
    <xf numFmtId="0" fontId="3" fillId="0" borderId="55" xfId="0" applyFont="1" applyBorder="1" applyAlignment="1">
      <alignment horizontal="left" vertical="center"/>
    </xf>
    <xf numFmtId="0" fontId="3" fillId="0" borderId="56" xfId="0" applyFont="1" applyBorder="1" applyAlignment="1">
      <alignment horizontal="left" vertical="center"/>
    </xf>
    <xf numFmtId="0" fontId="17" fillId="0" borderId="45" xfId="0" applyFont="1" applyBorder="1" applyAlignment="1">
      <alignment horizontal="center"/>
    </xf>
    <xf numFmtId="0" fontId="3" fillId="0" borderId="84" xfId="0" applyFont="1" applyBorder="1" applyAlignment="1">
      <alignment horizontal="left" vertical="center"/>
    </xf>
    <xf numFmtId="0" fontId="3" fillId="0" borderId="78" xfId="0" applyFont="1" applyBorder="1" applyAlignment="1">
      <alignment horizontal="left" vertical="center" wrapText="1"/>
    </xf>
    <xf numFmtId="0" fontId="27" fillId="4" borderId="18" xfId="0" applyFont="1" applyFill="1" applyBorder="1" applyAlignment="1">
      <alignment horizontal="center" vertical="center" wrapText="1"/>
    </xf>
    <xf numFmtId="0" fontId="17" fillId="0" borderId="114" xfId="0" applyFont="1" applyBorder="1" applyAlignment="1">
      <alignment horizontal="center"/>
    </xf>
    <xf numFmtId="0" fontId="27" fillId="0" borderId="18" xfId="0" applyFont="1" applyBorder="1" applyAlignment="1">
      <alignment horizontal="center" vertical="center" wrapText="1"/>
    </xf>
    <xf numFmtId="0" fontId="17" fillId="0" borderId="111" xfId="0" applyFont="1" applyBorder="1" applyAlignment="1">
      <alignment horizontal="center"/>
    </xf>
    <xf numFmtId="0" fontId="3" fillId="0" borderId="105" xfId="0" applyFont="1" applyBorder="1" applyAlignment="1">
      <alignment horizontal="left" vertical="center"/>
    </xf>
    <xf numFmtId="0" fontId="0" fillId="0" borderId="9" xfId="0" applyBorder="1" applyAlignment="1">
      <alignment horizontal="center" wrapText="1"/>
    </xf>
    <xf numFmtId="0" fontId="0" fillId="0" borderId="10" xfId="0" applyBorder="1" applyAlignment="1">
      <alignment horizontal="center" wrapText="1"/>
    </xf>
    <xf numFmtId="0" fontId="0" fillId="0" borderId="11" xfId="0" applyBorder="1" applyAlignment="1">
      <alignment horizontal="center" wrapText="1"/>
    </xf>
    <xf numFmtId="0" fontId="3" fillId="0" borderId="52" xfId="0" applyFont="1" applyBorder="1" applyAlignment="1">
      <alignment horizontal="left"/>
    </xf>
    <xf numFmtId="0" fontId="3" fillId="0" borderId="53" xfId="0" applyFont="1" applyBorder="1" applyAlignment="1">
      <alignment horizontal="left"/>
    </xf>
    <xf numFmtId="0" fontId="3" fillId="0" borderId="88" xfId="0" applyFont="1" applyBorder="1" applyAlignment="1">
      <alignment horizontal="left"/>
    </xf>
    <xf numFmtId="0" fontId="3" fillId="0" borderId="98" xfId="0" applyFont="1" applyBorder="1" applyAlignment="1">
      <alignment horizontal="left"/>
    </xf>
    <xf numFmtId="0" fontId="27" fillId="0" borderId="39" xfId="0" applyFont="1" applyBorder="1" applyAlignment="1">
      <alignment horizontal="center" vertical="center"/>
    </xf>
    <xf numFmtId="0" fontId="27" fillId="0" borderId="41" xfId="0" applyFont="1" applyBorder="1" applyAlignment="1">
      <alignment horizontal="center" vertical="center"/>
    </xf>
    <xf numFmtId="0" fontId="18" fillId="0" borderId="0" xfId="0" applyFont="1" applyAlignment="1">
      <alignment horizontal="left"/>
    </xf>
    <xf numFmtId="0" fontId="3" fillId="0" borderId="101" xfId="0" applyFont="1" applyBorder="1" applyAlignment="1">
      <alignment horizontal="left" vertical="center"/>
    </xf>
    <xf numFmtId="0" fontId="3" fillId="0" borderId="107" xfId="0" applyFont="1" applyBorder="1" applyAlignment="1">
      <alignment horizontal="left" vertical="center"/>
    </xf>
    <xf numFmtId="0" fontId="12" fillId="0" borderId="39" xfId="0" applyFont="1" applyBorder="1" applyAlignment="1">
      <alignment horizontal="center" vertical="center"/>
    </xf>
    <xf numFmtId="0" fontId="12" fillId="0" borderId="41" xfId="0" applyFont="1" applyBorder="1" applyAlignment="1">
      <alignment horizontal="center" vertical="center"/>
    </xf>
    <xf numFmtId="0" fontId="21" fillId="0" borderId="14" xfId="0" applyFont="1" applyBorder="1" applyAlignment="1">
      <alignment horizontal="center" vertical="center" wrapText="1"/>
    </xf>
    <xf numFmtId="0" fontId="21" fillId="0" borderId="16" xfId="0" applyFont="1" applyBorder="1" applyAlignment="1">
      <alignment horizontal="center" vertical="center" wrapText="1"/>
    </xf>
    <xf numFmtId="0" fontId="21" fillId="0" borderId="9" xfId="0" applyFont="1" applyBorder="1" applyAlignment="1">
      <alignment horizontal="center" vertical="center"/>
    </xf>
    <xf numFmtId="0" fontId="21" fillId="0" borderId="11" xfId="0" applyFont="1" applyBorder="1" applyAlignment="1">
      <alignment horizontal="center" vertical="center"/>
    </xf>
  </cellXfs>
  <cellStyles count="4">
    <cellStyle name="Komma" xfId="2" builtinId="3"/>
    <cellStyle name="p::v Condition Cells" xfId="3" xr:uid="{57FA8B2D-76F9-4419-BDA4-ED9B18459F52}"/>
    <cellStyle name="Prozent" xfId="1" builtinId="5"/>
    <cellStyle name="Standard" xfId="0" builtinId="0"/>
  </cellStyles>
  <dxfs count="17">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41AAC8"/>
        </patternFill>
      </fill>
    </dxf>
    <dxf>
      <font>
        <color theme="0"/>
      </font>
      <fill>
        <patternFill patternType="solid">
          <bgColor theme="0"/>
        </patternFill>
      </fill>
    </dxf>
    <dxf>
      <fill>
        <patternFill>
          <bgColor rgb="FF41AAC8"/>
        </patternFill>
      </fill>
    </dxf>
    <dxf>
      <font>
        <color theme="0"/>
      </font>
      <fill>
        <patternFill patternType="solid">
          <bgColor theme="0"/>
        </patternFill>
      </fill>
    </dxf>
  </dxfs>
  <tableStyles count="0" defaultTableStyle="TableStyleMedium2" defaultPivotStyle="PivotStyleMedium9"/>
  <colors>
    <mruColors>
      <color rgb="FFF8FAF4"/>
      <color rgb="FF46AAC1"/>
      <color rgb="FF4D7C73"/>
      <color rgb="FFB4D6D0"/>
      <color rgb="FF00557D"/>
      <color rgb="FF005F87"/>
      <color rgb="FFEAEAEA"/>
      <color rgb="FFAFD7E1"/>
      <color rgb="FF55A0B9"/>
      <color rgb="FFDAEC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svg"/><Relationship Id="rId1" Type="http://schemas.openxmlformats.org/officeDocument/2006/relationships/image" Target="../media/image3.png"/><Relationship Id="rId4" Type="http://schemas.openxmlformats.org/officeDocument/2006/relationships/image" Target="../media/image2.svg"/></Relationships>
</file>

<file path=xl/drawings/_rels/drawing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svg"/><Relationship Id="rId1" Type="http://schemas.openxmlformats.org/officeDocument/2006/relationships/image" Target="../media/image3.png"/><Relationship Id="rId4" Type="http://schemas.openxmlformats.org/officeDocument/2006/relationships/image" Target="../media/image2.sv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7326</xdr:colOff>
      <xdr:row>9</xdr:row>
      <xdr:rowOff>21278</xdr:rowOff>
    </xdr:from>
    <xdr:to>
      <xdr:col>5</xdr:col>
      <xdr:colOff>988</xdr:colOff>
      <xdr:row>9</xdr:row>
      <xdr:rowOff>185337</xdr:rowOff>
    </xdr:to>
    <xdr:pic>
      <xdr:nvPicPr>
        <xdr:cNvPr id="2" name="Grafik 1">
          <a:extLst>
            <a:ext uri="{FF2B5EF4-FFF2-40B4-BE49-F238E27FC236}">
              <a16:creationId xmlns:a16="http://schemas.microsoft.com/office/drawing/2014/main" id="{009CAF3B-C0DA-43B5-BDF8-BD3DE7275F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32692" y="1702933"/>
          <a:ext cx="3319200" cy="164059"/>
        </a:xfrm>
        <a:prstGeom prst="rect">
          <a:avLst/>
        </a:prstGeom>
      </xdr:spPr>
    </xdr:pic>
    <xdr:clientData/>
  </xdr:twoCellAnchor>
  <xdr:twoCellAnchor editAs="oneCell">
    <xdr:from>
      <xdr:col>0</xdr:col>
      <xdr:colOff>615753</xdr:colOff>
      <xdr:row>2</xdr:row>
      <xdr:rowOff>3654</xdr:rowOff>
    </xdr:from>
    <xdr:to>
      <xdr:col>4</xdr:col>
      <xdr:colOff>225961</xdr:colOff>
      <xdr:row>9</xdr:row>
      <xdr:rowOff>95761</xdr:rowOff>
    </xdr:to>
    <xdr:pic>
      <xdr:nvPicPr>
        <xdr:cNvPr id="4" name="Grafik 3">
          <a:extLst>
            <a:ext uri="{FF2B5EF4-FFF2-40B4-BE49-F238E27FC236}">
              <a16:creationId xmlns:a16="http://schemas.microsoft.com/office/drawing/2014/main" id="{ED513853-FE53-4A29-B060-FCF8579D7A7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15753" y="376771"/>
          <a:ext cx="3246787" cy="1400645"/>
        </a:xfrm>
        <a:prstGeom prst="rect">
          <a:avLst/>
        </a:prstGeom>
      </xdr:spPr>
    </xdr:pic>
    <xdr:clientData/>
  </xdr:twoCellAnchor>
  <xdr:twoCellAnchor>
    <xdr:from>
      <xdr:col>19</xdr:col>
      <xdr:colOff>14094</xdr:colOff>
      <xdr:row>10</xdr:row>
      <xdr:rowOff>200024</xdr:rowOff>
    </xdr:from>
    <xdr:to>
      <xdr:col>25</xdr:col>
      <xdr:colOff>452398</xdr:colOff>
      <xdr:row>44</xdr:row>
      <xdr:rowOff>7843</xdr:rowOff>
    </xdr:to>
    <xdr:sp macro="" textlink="">
      <xdr:nvSpPr>
        <xdr:cNvPr id="3" name="Textfeld 2">
          <a:extLst>
            <a:ext uri="{FF2B5EF4-FFF2-40B4-BE49-F238E27FC236}">
              <a16:creationId xmlns:a16="http://schemas.microsoft.com/office/drawing/2014/main" id="{2BA97326-0780-3F3D-7D03-A646E47723EE}"/>
            </a:ext>
            <a:ext uri="{147F2762-F138-4A5C-976F-8EAC2B608ADB}">
              <a16:predDERef xmlns:a16="http://schemas.microsoft.com/office/drawing/2014/main" pred="{ED513853-FE53-4A29-B060-FCF8579D7A75}"/>
            </a:ext>
          </a:extLst>
        </xdr:cNvPr>
        <xdr:cNvSpPr txBox="1"/>
      </xdr:nvSpPr>
      <xdr:spPr>
        <a:xfrm>
          <a:off x="10424359" y="2127436"/>
          <a:ext cx="4069010" cy="6318436"/>
        </a:xfrm>
        <a:prstGeom prst="rect">
          <a:avLst/>
        </a:prstGeom>
        <a:solidFill>
          <a:srgbClr val="F8FAF4"/>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b="1" u="sng" kern="1200"/>
        </a:p>
        <a:p>
          <a:endParaRPr lang="de-DE" sz="1100" b="1" u="sng" kern="1200"/>
        </a:p>
        <a:p>
          <a:r>
            <a:rPr lang="de-DE" sz="1100" b="1" u="sng" kern="1200"/>
            <a:t>Supplier comments:</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8283</xdr:colOff>
      <xdr:row>9</xdr:row>
      <xdr:rowOff>11839</xdr:rowOff>
    </xdr:from>
    <xdr:to>
      <xdr:col>5</xdr:col>
      <xdr:colOff>2306</xdr:colOff>
      <xdr:row>10</xdr:row>
      <xdr:rowOff>1806</xdr:rowOff>
    </xdr:to>
    <xdr:pic>
      <xdr:nvPicPr>
        <xdr:cNvPr id="3" name="Grafik 2">
          <a:extLst>
            <a:ext uri="{FF2B5EF4-FFF2-40B4-BE49-F238E27FC236}">
              <a16:creationId xmlns:a16="http://schemas.microsoft.com/office/drawing/2014/main" id="{1D14BDAA-91D2-4B14-AE06-5F1DAA6A6B2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35468" y="1705824"/>
          <a:ext cx="2916000" cy="180467"/>
        </a:xfrm>
        <a:prstGeom prst="rect">
          <a:avLst/>
        </a:prstGeom>
      </xdr:spPr>
    </xdr:pic>
    <xdr:clientData/>
  </xdr:twoCellAnchor>
  <xdr:twoCellAnchor editAs="oneCell">
    <xdr:from>
      <xdr:col>1</xdr:col>
      <xdr:colOff>18517</xdr:colOff>
      <xdr:row>2</xdr:row>
      <xdr:rowOff>10584</xdr:rowOff>
    </xdr:from>
    <xdr:to>
      <xdr:col>5</xdr:col>
      <xdr:colOff>2171</xdr:colOff>
      <xdr:row>8</xdr:row>
      <xdr:rowOff>155613</xdr:rowOff>
    </xdr:to>
    <xdr:pic>
      <xdr:nvPicPr>
        <xdr:cNvPr id="5" name="Grafik 4">
          <a:extLst>
            <a:ext uri="{FF2B5EF4-FFF2-40B4-BE49-F238E27FC236}">
              <a16:creationId xmlns:a16="http://schemas.microsoft.com/office/drawing/2014/main" id="{CE742C40-D313-4219-93C0-D6DF366D483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32350" y="402167"/>
          <a:ext cx="2848517" cy="1288029"/>
        </a:xfrm>
        <a:prstGeom prst="rect">
          <a:avLst/>
        </a:prstGeom>
      </xdr:spPr>
    </xdr:pic>
    <xdr:clientData/>
  </xdr:twoCellAnchor>
  <xdr:twoCellAnchor>
    <xdr:from>
      <xdr:col>22</xdr:col>
      <xdr:colOff>0</xdr:colOff>
      <xdr:row>10</xdr:row>
      <xdr:rowOff>134470</xdr:rowOff>
    </xdr:from>
    <xdr:to>
      <xdr:col>37</xdr:col>
      <xdr:colOff>358588</xdr:colOff>
      <xdr:row>37</xdr:row>
      <xdr:rowOff>44824</xdr:rowOff>
    </xdr:to>
    <xdr:sp macro="" textlink="">
      <xdr:nvSpPr>
        <xdr:cNvPr id="2" name="Textfeld 1">
          <a:extLst>
            <a:ext uri="{FF2B5EF4-FFF2-40B4-BE49-F238E27FC236}">
              <a16:creationId xmlns:a16="http://schemas.microsoft.com/office/drawing/2014/main" id="{F942E5CA-0F43-4B0E-9873-A8DCF963ACAF}"/>
            </a:ext>
          </a:extLst>
        </xdr:cNvPr>
        <xdr:cNvSpPr txBox="1"/>
      </xdr:nvSpPr>
      <xdr:spPr>
        <a:xfrm>
          <a:off x="14197853" y="2061882"/>
          <a:ext cx="3765176" cy="5771030"/>
        </a:xfrm>
        <a:prstGeom prst="rect">
          <a:avLst/>
        </a:prstGeom>
        <a:solidFill>
          <a:srgbClr val="F8FAF4"/>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b="1" u="sng" kern="1200"/>
        </a:p>
        <a:p>
          <a:endParaRPr lang="de-DE" sz="1100" b="1" u="sng" kern="1200"/>
        </a:p>
        <a:p>
          <a:r>
            <a:rPr lang="de-DE" sz="1100" b="1" u="sng" kern="1200"/>
            <a:t>Supplier comments: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2628</xdr:colOff>
      <xdr:row>9</xdr:row>
      <xdr:rowOff>8440</xdr:rowOff>
    </xdr:from>
    <xdr:to>
      <xdr:col>4</xdr:col>
      <xdr:colOff>993</xdr:colOff>
      <xdr:row>9</xdr:row>
      <xdr:rowOff>189245</xdr:rowOff>
    </xdr:to>
    <xdr:pic>
      <xdr:nvPicPr>
        <xdr:cNvPr id="2" name="Grafik 1">
          <a:extLst>
            <a:ext uri="{FF2B5EF4-FFF2-40B4-BE49-F238E27FC236}">
              <a16:creationId xmlns:a16="http://schemas.microsoft.com/office/drawing/2014/main" id="{7EF742BE-4D4F-4494-B57B-A0F426BA4B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27468" y="1692460"/>
          <a:ext cx="2869200" cy="180805"/>
        </a:xfrm>
        <a:prstGeom prst="rect">
          <a:avLst/>
        </a:prstGeom>
      </xdr:spPr>
    </xdr:pic>
    <xdr:clientData/>
  </xdr:twoCellAnchor>
  <xdr:twoCellAnchor editAs="oneCell">
    <xdr:from>
      <xdr:col>1</xdr:col>
      <xdr:colOff>26275</xdr:colOff>
      <xdr:row>2</xdr:row>
      <xdr:rowOff>45981</xdr:rowOff>
    </xdr:from>
    <xdr:to>
      <xdr:col>3</xdr:col>
      <xdr:colOff>1096204</xdr:colOff>
      <xdr:row>8</xdr:row>
      <xdr:rowOff>151086</xdr:rowOff>
    </xdr:to>
    <xdr:pic>
      <xdr:nvPicPr>
        <xdr:cNvPr id="5" name="Grafik 4">
          <a:extLst>
            <a:ext uri="{FF2B5EF4-FFF2-40B4-BE49-F238E27FC236}">
              <a16:creationId xmlns:a16="http://schemas.microsoft.com/office/drawing/2014/main" id="{8615373D-CDF1-4E09-8732-71C46AB7A29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37189" y="433550"/>
          <a:ext cx="2757102" cy="1248105"/>
        </a:xfrm>
        <a:prstGeom prst="rect">
          <a:avLst/>
        </a:prstGeom>
      </xdr:spPr>
    </xdr:pic>
    <xdr:clientData/>
  </xdr:twoCellAnchor>
  <xdr:twoCellAnchor>
    <xdr:from>
      <xdr:col>26</xdr:col>
      <xdr:colOff>0</xdr:colOff>
      <xdr:row>10</xdr:row>
      <xdr:rowOff>168087</xdr:rowOff>
    </xdr:from>
    <xdr:to>
      <xdr:col>47</xdr:col>
      <xdr:colOff>112059</xdr:colOff>
      <xdr:row>37</xdr:row>
      <xdr:rowOff>112058</xdr:rowOff>
    </xdr:to>
    <xdr:sp macro="" textlink="">
      <xdr:nvSpPr>
        <xdr:cNvPr id="3" name="Textfeld 2">
          <a:extLst>
            <a:ext uri="{FF2B5EF4-FFF2-40B4-BE49-F238E27FC236}">
              <a16:creationId xmlns:a16="http://schemas.microsoft.com/office/drawing/2014/main" id="{7F9A3DAB-E988-4B4D-A647-82C23D85E2CD}"/>
            </a:ext>
          </a:extLst>
        </xdr:cNvPr>
        <xdr:cNvSpPr txBox="1"/>
      </xdr:nvSpPr>
      <xdr:spPr>
        <a:xfrm>
          <a:off x="16663147" y="2095499"/>
          <a:ext cx="4392706" cy="5838265"/>
        </a:xfrm>
        <a:prstGeom prst="rect">
          <a:avLst/>
        </a:prstGeom>
        <a:solidFill>
          <a:srgbClr val="F8FAF4"/>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b="1" u="sng" kern="1200"/>
        </a:p>
        <a:p>
          <a:endParaRPr lang="de-DE" sz="1100" b="1" u="sng" kern="1200"/>
        </a:p>
        <a:p>
          <a:r>
            <a:rPr lang="de-DE" sz="1100" b="1" u="sng" kern="1200"/>
            <a:t>Supplier comments:</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4498</xdr:colOff>
      <xdr:row>8</xdr:row>
      <xdr:rowOff>162403</xdr:rowOff>
    </xdr:from>
    <xdr:to>
      <xdr:col>3</xdr:col>
      <xdr:colOff>1225423</xdr:colOff>
      <xdr:row>9</xdr:row>
      <xdr:rowOff>187510</xdr:rowOff>
    </xdr:to>
    <xdr:pic>
      <xdr:nvPicPr>
        <xdr:cNvPr id="2" name="Grafik 1">
          <a:extLst>
            <a:ext uri="{FF2B5EF4-FFF2-40B4-BE49-F238E27FC236}">
              <a16:creationId xmlns:a16="http://schemas.microsoft.com/office/drawing/2014/main" id="{18C35830-5C75-43DB-B71A-CD434B3B97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28386" y="1676878"/>
          <a:ext cx="3268800" cy="206082"/>
        </a:xfrm>
        <a:prstGeom prst="rect">
          <a:avLst/>
        </a:prstGeom>
      </xdr:spPr>
    </xdr:pic>
    <xdr:clientData/>
  </xdr:twoCellAnchor>
  <xdr:twoCellAnchor editAs="oneCell">
    <xdr:from>
      <xdr:col>1</xdr:col>
      <xdr:colOff>262900</xdr:colOff>
      <xdr:row>2</xdr:row>
      <xdr:rowOff>42331</xdr:rowOff>
    </xdr:from>
    <xdr:to>
      <xdr:col>3</xdr:col>
      <xdr:colOff>1051502</xdr:colOff>
      <xdr:row>8</xdr:row>
      <xdr:rowOff>147436</xdr:rowOff>
    </xdr:to>
    <xdr:pic>
      <xdr:nvPicPr>
        <xdr:cNvPr id="4" name="Grafik 3">
          <a:extLst>
            <a:ext uri="{FF2B5EF4-FFF2-40B4-BE49-F238E27FC236}">
              <a16:creationId xmlns:a16="http://schemas.microsoft.com/office/drawing/2014/main" id="{CD9B360C-A36B-4C9D-85C8-B75607ECDDF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86788" y="413806"/>
          <a:ext cx="2798377" cy="124810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523875</xdr:colOff>
      <xdr:row>2</xdr:row>
      <xdr:rowOff>38101</xdr:rowOff>
    </xdr:from>
    <xdr:ext cx="2530050" cy="1144142"/>
    <xdr:pic>
      <xdr:nvPicPr>
        <xdr:cNvPr id="2" name="Grafik 1">
          <a:extLst>
            <a:ext uri="{FF2B5EF4-FFF2-40B4-BE49-F238E27FC236}">
              <a16:creationId xmlns:a16="http://schemas.microsoft.com/office/drawing/2014/main" id="{BD9AB246-1C3A-46CF-905F-987B428779D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23875" y="428626"/>
          <a:ext cx="2530050" cy="1144142"/>
        </a:xfrm>
        <a:prstGeom prst="rect">
          <a:avLst/>
        </a:prstGeom>
      </xdr:spPr>
    </xdr:pic>
    <xdr:clientData/>
  </xdr:oneCellAnchor>
  <xdr:oneCellAnchor>
    <xdr:from>
      <xdr:col>1</xdr:col>
      <xdr:colOff>3828</xdr:colOff>
      <xdr:row>9</xdr:row>
      <xdr:rowOff>52406</xdr:rowOff>
    </xdr:from>
    <xdr:ext cx="2584800" cy="140768"/>
    <xdr:pic>
      <xdr:nvPicPr>
        <xdr:cNvPr id="3" name="Grafik 2">
          <a:extLst>
            <a:ext uri="{FF2B5EF4-FFF2-40B4-BE49-F238E27FC236}">
              <a16:creationId xmlns:a16="http://schemas.microsoft.com/office/drawing/2014/main" id="{2A02FFBD-552E-4271-B577-B367C068632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29194" y="1613192"/>
          <a:ext cx="2584800" cy="140768"/>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504825</xdr:colOff>
      <xdr:row>1</xdr:row>
      <xdr:rowOff>95250</xdr:rowOff>
    </xdr:from>
    <xdr:ext cx="3140869" cy="1420368"/>
    <xdr:pic>
      <xdr:nvPicPr>
        <xdr:cNvPr id="2" name="Grafik 1">
          <a:extLst>
            <a:ext uri="{FF2B5EF4-FFF2-40B4-BE49-F238E27FC236}">
              <a16:creationId xmlns:a16="http://schemas.microsoft.com/office/drawing/2014/main" id="{866D88DD-5E1D-40AA-9EEC-2F963F9A7CF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04825" y="285750"/>
          <a:ext cx="3140869" cy="1420368"/>
        </a:xfrm>
        <a:prstGeom prst="rect">
          <a:avLst/>
        </a:prstGeom>
      </xdr:spPr>
    </xdr:pic>
    <xdr:clientData/>
  </xdr:oneCellAnchor>
  <xdr:oneCellAnchor>
    <xdr:from>
      <xdr:col>1</xdr:col>
      <xdr:colOff>6651</xdr:colOff>
      <xdr:row>9</xdr:row>
      <xdr:rowOff>7635</xdr:rowOff>
    </xdr:from>
    <xdr:ext cx="3214800" cy="175076"/>
    <xdr:pic>
      <xdr:nvPicPr>
        <xdr:cNvPr id="3" name="Grafik 2">
          <a:extLst>
            <a:ext uri="{FF2B5EF4-FFF2-40B4-BE49-F238E27FC236}">
              <a16:creationId xmlns:a16="http://schemas.microsoft.com/office/drawing/2014/main" id="{A95EF3E3-06E1-46B7-A2DD-C445998D04A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32017" y="1705056"/>
          <a:ext cx="3214800" cy="175076"/>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1</xdr:col>
      <xdr:colOff>142874</xdr:colOff>
      <xdr:row>5</xdr:row>
      <xdr:rowOff>43206</xdr:rowOff>
    </xdr:from>
    <xdr:to>
      <xdr:col>6</xdr:col>
      <xdr:colOff>258335</xdr:colOff>
      <xdr:row>14</xdr:row>
      <xdr:rowOff>295</xdr:rowOff>
    </xdr:to>
    <xdr:pic>
      <xdr:nvPicPr>
        <xdr:cNvPr id="2" name="Picture 1">
          <a:extLst>
            <a:ext uri="{FF2B5EF4-FFF2-40B4-BE49-F238E27FC236}">
              <a16:creationId xmlns:a16="http://schemas.microsoft.com/office/drawing/2014/main" id="{1D370602-732A-43E4-B874-9B90F13D1B69}"/>
            </a:ext>
          </a:extLst>
        </xdr:cNvPr>
        <xdr:cNvPicPr>
          <a:picLocks noChangeAspect="1"/>
        </xdr:cNvPicPr>
      </xdr:nvPicPr>
      <xdr:blipFill>
        <a:blip xmlns:r="http://schemas.openxmlformats.org/officeDocument/2006/relationships" r:embed="rId1"/>
        <a:stretch>
          <a:fillRect/>
        </a:stretch>
      </xdr:blipFill>
      <xdr:spPr>
        <a:xfrm>
          <a:off x="752474" y="1233831"/>
          <a:ext cx="6573411" cy="1671589"/>
        </a:xfrm>
        <a:prstGeom prst="rect">
          <a:avLst/>
        </a:prstGeom>
      </xdr:spPr>
    </xdr:pic>
    <xdr:clientData/>
  </xdr:twoCellAnchor>
  <xdr:twoCellAnchor>
    <xdr:from>
      <xdr:col>2</xdr:col>
      <xdr:colOff>680518</xdr:colOff>
      <xdr:row>3</xdr:row>
      <xdr:rowOff>47624</xdr:rowOff>
    </xdr:from>
    <xdr:to>
      <xdr:col>2</xdr:col>
      <xdr:colOff>1184518</xdr:colOff>
      <xdr:row>3</xdr:row>
      <xdr:rowOff>352423</xdr:rowOff>
    </xdr:to>
    <xdr:sp macro="" textlink="">
      <xdr:nvSpPr>
        <xdr:cNvPr id="3" name="Oval 2">
          <a:extLst>
            <a:ext uri="{FF2B5EF4-FFF2-40B4-BE49-F238E27FC236}">
              <a16:creationId xmlns:a16="http://schemas.microsoft.com/office/drawing/2014/main" id="{5DD5E99F-27D8-4A3E-9C17-7EFE63CC6C61}"/>
            </a:ext>
          </a:extLst>
        </xdr:cNvPr>
        <xdr:cNvSpPr/>
      </xdr:nvSpPr>
      <xdr:spPr>
        <a:xfrm>
          <a:off x="2014018" y="666749"/>
          <a:ext cx="504000" cy="30479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2</xdr:col>
      <xdr:colOff>47625</xdr:colOff>
      <xdr:row>5</xdr:row>
      <xdr:rowOff>175703</xdr:rowOff>
    </xdr:from>
    <xdr:to>
      <xdr:col>3</xdr:col>
      <xdr:colOff>742950</xdr:colOff>
      <xdr:row>12</xdr:row>
      <xdr:rowOff>66687</xdr:rowOff>
    </xdr:to>
    <xdr:grpSp>
      <xdr:nvGrpSpPr>
        <xdr:cNvPr id="4" name="Group 3">
          <a:extLst>
            <a:ext uri="{FF2B5EF4-FFF2-40B4-BE49-F238E27FC236}">
              <a16:creationId xmlns:a16="http://schemas.microsoft.com/office/drawing/2014/main" id="{6DF643F7-AFE5-4C38-BB66-9D1D96D7CC59}"/>
            </a:ext>
          </a:extLst>
        </xdr:cNvPr>
        <xdr:cNvGrpSpPr/>
      </xdr:nvGrpSpPr>
      <xdr:grpSpPr>
        <a:xfrm>
          <a:off x="1381125" y="1363527"/>
          <a:ext cx="1995207" cy="1224484"/>
          <a:chOff x="1318721" y="1361133"/>
          <a:chExt cx="2361244" cy="1224484"/>
        </a:xfrm>
      </xdr:grpSpPr>
      <xdr:sp macro="" textlink="">
        <xdr:nvSpPr>
          <xdr:cNvPr id="5" name="Oval 4">
            <a:extLst>
              <a:ext uri="{FF2B5EF4-FFF2-40B4-BE49-F238E27FC236}">
                <a16:creationId xmlns:a16="http://schemas.microsoft.com/office/drawing/2014/main" id="{63A0BDC5-72C2-1BBB-6C07-444A34FE7423}"/>
              </a:ext>
            </a:extLst>
          </xdr:cNvPr>
          <xdr:cNvSpPr/>
        </xdr:nvSpPr>
        <xdr:spPr>
          <a:xfrm>
            <a:off x="1356264" y="1361133"/>
            <a:ext cx="225710" cy="31959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6" name="Oval 5">
            <a:extLst>
              <a:ext uri="{FF2B5EF4-FFF2-40B4-BE49-F238E27FC236}">
                <a16:creationId xmlns:a16="http://schemas.microsoft.com/office/drawing/2014/main" id="{A474D9B0-E040-62DA-CFE1-8BBC05DF8D7C}"/>
              </a:ext>
            </a:extLst>
          </xdr:cNvPr>
          <xdr:cNvSpPr/>
        </xdr:nvSpPr>
        <xdr:spPr>
          <a:xfrm>
            <a:off x="3478880" y="1648481"/>
            <a:ext cx="201085" cy="17991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7" name="Oval 6">
            <a:extLst>
              <a:ext uri="{FF2B5EF4-FFF2-40B4-BE49-F238E27FC236}">
                <a16:creationId xmlns:a16="http://schemas.microsoft.com/office/drawing/2014/main" id="{E7F70C41-770E-154F-EC5C-4FA5F13853CF}"/>
              </a:ext>
            </a:extLst>
          </xdr:cNvPr>
          <xdr:cNvSpPr/>
        </xdr:nvSpPr>
        <xdr:spPr>
          <a:xfrm>
            <a:off x="1318721" y="1937906"/>
            <a:ext cx="305041" cy="495300"/>
          </a:xfrm>
          <a:prstGeom prst="ellipse">
            <a:avLst/>
          </a:prstGeom>
          <a:no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8" name="Oval 7">
            <a:extLst>
              <a:ext uri="{FF2B5EF4-FFF2-40B4-BE49-F238E27FC236}">
                <a16:creationId xmlns:a16="http://schemas.microsoft.com/office/drawing/2014/main" id="{633C86D2-E22C-EDC1-D42F-E59FC676A1B2}"/>
              </a:ext>
            </a:extLst>
          </xdr:cNvPr>
          <xdr:cNvSpPr/>
        </xdr:nvSpPr>
        <xdr:spPr>
          <a:xfrm>
            <a:off x="3216351" y="2405700"/>
            <a:ext cx="201083" cy="179917"/>
          </a:xfrm>
          <a:prstGeom prst="ellipse">
            <a:avLst/>
          </a:prstGeom>
          <a:no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grpSp>
    <xdr:clientData/>
  </xdr:twoCellAnchor>
  <xdr:twoCellAnchor>
    <xdr:from>
      <xdr:col>3</xdr:col>
      <xdr:colOff>1042174</xdr:colOff>
      <xdr:row>3</xdr:row>
      <xdr:rowOff>18510</xdr:rowOff>
    </xdr:from>
    <xdr:to>
      <xdr:col>3</xdr:col>
      <xdr:colOff>1654173</xdr:colOff>
      <xdr:row>4</xdr:row>
      <xdr:rowOff>8986</xdr:rowOff>
    </xdr:to>
    <xdr:sp macro="" textlink="">
      <xdr:nvSpPr>
        <xdr:cNvPr id="9" name="Oval 8">
          <a:extLst>
            <a:ext uri="{FF2B5EF4-FFF2-40B4-BE49-F238E27FC236}">
              <a16:creationId xmlns:a16="http://schemas.microsoft.com/office/drawing/2014/main" id="{B6775678-EFB5-42B9-8395-C2A085212F88}"/>
            </a:ext>
          </a:extLst>
        </xdr:cNvPr>
        <xdr:cNvSpPr/>
      </xdr:nvSpPr>
      <xdr:spPr>
        <a:xfrm>
          <a:off x="3671074" y="637635"/>
          <a:ext cx="611999" cy="371476"/>
        </a:xfrm>
        <a:prstGeom prst="ellipse">
          <a:avLst/>
        </a:prstGeom>
        <a:no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mmo6bue\AppData\Local\Microsoft\Windows\INetCache\Content.Outlook\VHST1N7Z\MPE_V4_1_1_20250714%20(002).xlsx" TargetMode="External"/><Relationship Id="rId1" Type="http://schemas.openxmlformats.org/officeDocument/2006/relationships/externalLinkPath" Target="https://bosch.sharepoint.com/Users/mmo6bue/AppData/Local/Microsoft/Windows/INetCache/Content.Outlook/VHST1N7Z/MPE_V4_1_1_20250714%20(002).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HES4SGM\AppData\Local\Apps\2.0\KP59JMZM.D5D\J2MO27EM.T52\team..test_aeb1aac0f2af8554_0966.0001_8d97ad3f69bacdb2\AddIns\TcPCM.CBD.SiemensCBDAddIn.V3.0\SiemensTemplate_v3.0.xlsx" TargetMode="External"/><Relationship Id="rId1" Type="http://schemas.openxmlformats.org/officeDocument/2006/relationships/externalLinkPath" Target="https://bosch.sharepoint.com/Users/HES4SGM/AppData/Local/Apps/2.0/KP59JMZM.D5D/J2MO27EM.T52/team..test_aeb1aac0f2af8554_0966.0001_8d97ad3f69bacdb2/AddIns/TcPCM.CBD.SiemensCBDAddIn.V3.0/SiemensTemplate_v3.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bosch.sharepoint.com/Users/mmo6bue/AppData/Local/Microsoft/Windows/INetCache/Content.Outlook/HEWFM3PC/new_MP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mmary"/>
      <sheetName val="Material (1,2,3)"/>
      <sheetName val="Manufacturing (6,7,8,9)"/>
      <sheetName val="Tools and Devices (16,24)"/>
      <sheetName val="Languages"/>
      <sheetName val="MHR"/>
      <sheetName val="LHR"/>
      <sheetName val="Help"/>
      <sheetName val="Docu. TcPCM and Excel"/>
      <sheetName val="Assumptions"/>
      <sheetName val="Change log"/>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mmary"/>
      <sheetName val="Material (1,2,3)"/>
      <sheetName val="Manufacturing (6,7,8,9)"/>
      <sheetName val="Tools and Devices (16,24)"/>
      <sheetName val="MHR"/>
      <sheetName val="Help"/>
      <sheetName val="Docu. TcPCM and Excel"/>
      <sheetName val="Languages"/>
      <sheetName val="Assumptions"/>
      <sheetName val="Change log"/>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Material (1,2,3)"/>
      <sheetName val="Manufacturing (6,7,8,9)"/>
      <sheetName val="Tools and Devices (16,24)"/>
      <sheetName val="MHR"/>
      <sheetName val="LHR"/>
      <sheetName val="Help"/>
      <sheetName val="Docu. TcPCM and Excel"/>
      <sheetName val="Languages"/>
      <sheetName val="Assump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T32" dT="2025-11-24T12:52:07.61" personId="{00000000-0000-0000-0000-000000000000}" id="{F56AA331-AE61-4732-A98F-8DABC46AE1FB}">
    <text xml:space="preserve">Material scrap costs = material scrap% x (material cost + material scrap cost% x material cost)
Explanation: material scrap costs also consider the scrap of the scrap but not the Material overhead
Def material scrap cost = scrap cost which are resulting from manufacturing scrap
Exemple : material scrap 0% considered in this case - can be adapted
</text>
  </threadedComment>
</ThreadedComments>
</file>

<file path=xl/threadedComments/threadedComment2.xml><?xml version="1.0" encoding="utf-8"?>
<ThreadedComments xmlns="http://schemas.microsoft.com/office/spreadsheetml/2018/threadedcomments" xmlns:x="http://schemas.openxmlformats.org/spreadsheetml/2006/main">
  <threadedComment ref="W32" dT="2025-11-24T12:50:45.27" personId="{00000000-0000-0000-0000-000000000000}" id="{A58D44C1-FA42-4F05-AD4B-EDDA99510D29}">
    <text xml:space="preserve">Manuf scrap costs = manuf scrap% * (direct manuf costs + manuf overhead costs + manuf scrap %  * (direct manuf costs + manuf overhead costs))
Explanation: manuf scrap costs also consider the scrap of the scrap and manuf overhead
Exemple : manuf  scrap 0% considered in this case - can be adapted
</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 Id="rId6" Type="http://schemas.microsoft.com/office/2017/10/relationships/threadedComment" Target="../threadedComments/threadedComment2.xm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AA65"/>
  <sheetViews>
    <sheetView showGridLines="0" tabSelected="1" zoomScale="85" zoomScaleNormal="85" zoomScaleSheetLayoutView="80" workbookViewId="0"/>
  </sheetViews>
  <sheetFormatPr baseColWidth="10" defaultColWidth="9.140625" defaultRowHeight="15" x14ac:dyDescent="0.25"/>
  <cols>
    <col min="2" max="2" width="4.7109375" customWidth="1"/>
    <col min="3" max="3" width="23.140625" customWidth="1"/>
    <col min="4" max="4" width="16.140625" customWidth="1"/>
    <col min="5" max="5" width="4.7109375" customWidth="1"/>
    <col min="6" max="6" width="2.7109375" customWidth="1"/>
    <col min="7" max="13" width="1.7109375" customWidth="1"/>
    <col min="14" max="14" width="6" customWidth="1"/>
    <col min="15" max="15" width="34.85546875" bestFit="1" customWidth="1"/>
    <col min="16" max="16" width="10.7109375" customWidth="1"/>
    <col min="17" max="17" width="10.7109375" bestFit="1" customWidth="1"/>
    <col min="18" max="18" width="8.7109375" customWidth="1"/>
    <col min="19" max="19" width="12.7109375" customWidth="1"/>
    <col min="20" max="20" width="8.7109375" customWidth="1"/>
    <col min="21" max="22" width="10.7109375" customWidth="1"/>
    <col min="23" max="23" width="8.7109375" customWidth="1"/>
    <col min="24" max="24" width="12.7109375" customWidth="1"/>
    <col min="25" max="25" width="2.7109375" customWidth="1"/>
    <col min="26" max="26" width="8.7109375" customWidth="1"/>
    <col min="27" max="27" width="12" hidden="1" customWidth="1"/>
    <col min="28" max="28" width="4.7109375" customWidth="1"/>
    <col min="50" max="50" width="9.140625" customWidth="1"/>
  </cols>
  <sheetData>
    <row r="2" spans="2:27" ht="15.75" thickBot="1" x14ac:dyDescent="0.3"/>
    <row r="3" spans="2:27" ht="15" customHeight="1" x14ac:dyDescent="0.25">
      <c r="B3" s="294"/>
      <c r="C3" s="295"/>
      <c r="D3" s="295"/>
      <c r="E3" s="296"/>
      <c r="F3" s="621" t="str">
        <f>VLOOKUP("a",Languages!A:J,VLOOKUP($X$6,Languages!$C$2:$D$10,2,FALSE),FALSE)</f>
        <v>BOSCH Material and Process Evaluation (MPE)</v>
      </c>
      <c r="G3" s="622"/>
      <c r="H3" s="622"/>
      <c r="I3" s="622"/>
      <c r="J3" s="622"/>
      <c r="K3" s="622"/>
      <c r="L3" s="622"/>
      <c r="M3" s="622"/>
      <c r="N3" s="622"/>
      <c r="O3" s="622"/>
      <c r="P3" s="622"/>
      <c r="Q3" s="622"/>
      <c r="R3" s="622"/>
      <c r="S3" s="622"/>
      <c r="T3" s="622"/>
      <c r="U3" s="622"/>
      <c r="V3" s="621" t="str">
        <f>VLOOKUP("b",Languages!A:J,VLOOKUP($X$6,Languages!$C$2:$D$10,2,FALSE),FALSE)</f>
        <v>Summary</v>
      </c>
      <c r="W3" s="622"/>
      <c r="X3" s="622"/>
      <c r="Y3" s="622"/>
      <c r="Z3" s="627"/>
    </row>
    <row r="4" spans="2:27" ht="15" customHeight="1" thickBot="1" x14ac:dyDescent="0.3">
      <c r="B4" s="297"/>
      <c r="C4" s="1"/>
      <c r="D4" s="1"/>
      <c r="E4" s="298"/>
      <c r="F4" s="623"/>
      <c r="G4" s="624"/>
      <c r="H4" s="624"/>
      <c r="I4" s="624"/>
      <c r="J4" s="624"/>
      <c r="K4" s="624"/>
      <c r="L4" s="624"/>
      <c r="M4" s="624"/>
      <c r="N4" s="624"/>
      <c r="O4" s="624"/>
      <c r="P4" s="624"/>
      <c r="Q4" s="624"/>
      <c r="R4" s="624"/>
      <c r="S4" s="624"/>
      <c r="T4" s="624"/>
      <c r="U4" s="624"/>
      <c r="V4" s="625"/>
      <c r="W4" s="626"/>
      <c r="X4" s="626"/>
      <c r="Y4" s="626"/>
      <c r="Z4" s="628"/>
    </row>
    <row r="5" spans="2:27" ht="15" customHeight="1" thickBot="1" x14ac:dyDescent="0.3">
      <c r="B5" s="297"/>
      <c r="C5" s="1"/>
      <c r="D5" s="1"/>
      <c r="E5" s="298"/>
      <c r="F5" s="623"/>
      <c r="G5" s="624"/>
      <c r="H5" s="624"/>
      <c r="I5" s="624"/>
      <c r="J5" s="624"/>
      <c r="K5" s="624"/>
      <c r="L5" s="624"/>
      <c r="M5" s="624"/>
      <c r="N5" s="624"/>
      <c r="O5" s="624"/>
      <c r="P5" s="624"/>
      <c r="Q5" s="624"/>
      <c r="R5" s="624"/>
      <c r="S5" s="624"/>
      <c r="T5" s="624"/>
      <c r="U5" s="624"/>
      <c r="V5" s="39"/>
      <c r="W5" s="189" t="s">
        <v>0</v>
      </c>
      <c r="X5" s="640" t="s">
        <v>1</v>
      </c>
      <c r="Y5" s="619"/>
      <c r="Z5" s="620"/>
      <c r="AA5" t="str">
        <f>"This Siemens CBD AddIn is only compatible with Siemens CBD Excel Template v"&amp;X5</f>
        <v>This Siemens CBD AddIn is only compatible with Siemens CBD Excel Template v4.1</v>
      </c>
    </row>
    <row r="6" spans="2:27" ht="15" customHeight="1" thickBot="1" x14ac:dyDescent="0.3">
      <c r="B6" s="297"/>
      <c r="C6" s="1"/>
      <c r="D6" s="1"/>
      <c r="E6" s="298"/>
      <c r="F6" s="625"/>
      <c r="G6" s="626"/>
      <c r="H6" s="626"/>
      <c r="I6" s="626"/>
      <c r="J6" s="626"/>
      <c r="K6" s="626"/>
      <c r="L6" s="626"/>
      <c r="M6" s="626"/>
      <c r="N6" s="626"/>
      <c r="O6" s="626"/>
      <c r="P6" s="626"/>
      <c r="Q6" s="626"/>
      <c r="R6" s="626"/>
      <c r="S6" s="626"/>
      <c r="T6" s="626"/>
      <c r="U6" s="626"/>
      <c r="V6" s="201"/>
      <c r="W6" s="145" t="s">
        <v>2</v>
      </c>
      <c r="X6" s="618" t="s">
        <v>3</v>
      </c>
      <c r="Y6" s="619"/>
      <c r="Z6" s="620"/>
      <c r="AA6" t="str">
        <f>"CBD Import - Supplier: " &amp;O7</f>
        <v xml:space="preserve">CBD Import - Supplier: </v>
      </c>
    </row>
    <row r="7" spans="2:27" x14ac:dyDescent="0.25">
      <c r="B7" s="297"/>
      <c r="C7" s="1"/>
      <c r="D7" s="1"/>
      <c r="E7" s="298"/>
      <c r="F7" s="36"/>
      <c r="G7" s="31" t="str">
        <f>VLOOKUP("0.1",Languages!A:J,VLOOKUP($X$6,Languages!$C$2:$D$10,2,FALSE),FALSE)</f>
        <v>Supplier</v>
      </c>
      <c r="H7" s="2"/>
      <c r="I7" s="2"/>
      <c r="J7" s="2"/>
      <c r="K7" s="2"/>
      <c r="L7" s="2"/>
      <c r="M7" s="2"/>
      <c r="N7" s="2"/>
      <c r="O7" s="302"/>
      <c r="Q7" s="260" t="str">
        <f>VLOOKUP("0.01",Languages!A:J,VLOOKUP($X$6,Languages!$C$2:$D$10,2,FALSE),FALSE)</f>
        <v>Field</v>
      </c>
      <c r="T7" s="31" t="str">
        <f>VLOOKUP("0.5",Languages!A:J,VLOOKUP($X$6,Languages!$C$2:$D$10,2,FALSE),FALSE)</f>
        <v>Project</v>
      </c>
      <c r="V7" s="629"/>
      <c r="W7" s="630"/>
      <c r="X7" s="630"/>
      <c r="Y7" s="630"/>
      <c r="Z7" s="631"/>
      <c r="AA7" t="str">
        <f>T7&amp;": "&amp;V7&amp;"    "&amp;T10&amp;": "&amp;TEXT(V10,"TT.MM.JJJJ")&amp;"    "&amp;G8&amp;": "&amp;O8&amp;"    "&amp;G9&amp;": "&amp;O9&amp;"    "&amp;G10&amp;": "&amp;O10&amp;"    "&amp;C16&amp;": "&amp;D16&amp;"    "&amp;C17&amp;": "&amp;D17&amp;"    "&amp;C24&amp;": "&amp;D24&amp;"    "&amp;C25&amp;": "&amp;D25&amp;"    "&amp;C26&amp;": "&amp;D26&amp;"    "&amp;C27&amp;": "&amp;D27&amp;"    "&amp;C28&amp;": "&amp;D28&amp;"    "&amp;C29&amp;": "&amp;D29</f>
        <v xml:space="preserve">Project:     Quotation date: 00.01.1900    Contact person:     E-Mail:     Telephone:     Manufacturing lot size:     Production site:     :     :     :     :     :     : </v>
      </c>
    </row>
    <row r="8" spans="2:27" x14ac:dyDescent="0.25">
      <c r="B8" s="297"/>
      <c r="C8" s="1"/>
      <c r="D8" s="1"/>
      <c r="E8" s="298"/>
      <c r="F8" s="36"/>
      <c r="G8" s="32" t="str">
        <f>VLOOKUP("0.2",Languages!A:J,VLOOKUP($X$6,Languages!$C$2:$D$10,2,FALSE),FALSE)</f>
        <v>Contact person</v>
      </c>
      <c r="H8" s="8"/>
      <c r="I8" s="8"/>
      <c r="J8" s="8"/>
      <c r="K8" s="8"/>
      <c r="L8" s="8"/>
      <c r="M8" s="8"/>
      <c r="N8" s="8"/>
      <c r="O8" s="542"/>
      <c r="Q8" s="299" t="str">
        <f>VLOOKUP("0.02",Languages!A:J,VLOOKUP($X$6,Languages!$C$2:$D$10,2,FALSE),FALSE)</f>
        <v>Level 1</v>
      </c>
      <c r="T8" s="32" t="str">
        <f>VLOOKUP("0.6",Languages!A:J,VLOOKUP($X$6,Languages!$C$2:$D$10,2,FALSE),FALSE)</f>
        <v>Part number</v>
      </c>
      <c r="U8" s="7"/>
      <c r="V8" s="632"/>
      <c r="W8" s="633"/>
      <c r="X8" s="633"/>
      <c r="Y8" s="633"/>
      <c r="Z8" s="634"/>
    </row>
    <row r="9" spans="2:27" x14ac:dyDescent="0.25">
      <c r="B9" s="612"/>
      <c r="C9" s="613"/>
      <c r="D9" s="613"/>
      <c r="E9" s="614"/>
      <c r="F9" s="36"/>
      <c r="G9" s="32" t="str">
        <f>VLOOKUP("0.3",Languages!A:J,VLOOKUP($X$6,Languages!$C$2:$D$10,2,FALSE),FALSE)</f>
        <v>E-Mail</v>
      </c>
      <c r="H9" s="8"/>
      <c r="I9" s="8"/>
      <c r="J9" s="8"/>
      <c r="K9" s="8"/>
      <c r="L9" s="8"/>
      <c r="M9" s="8"/>
      <c r="N9" s="8"/>
      <c r="O9" s="542"/>
      <c r="Q9" s="303" t="str">
        <f>VLOOKUP("0.03",Languages!A:J,VLOOKUP($X$6,Languages!$C$2:$D$10,2,FALSE),FALSE)</f>
        <v>Level 2</v>
      </c>
      <c r="T9" s="32" t="str">
        <f>VLOOKUP("0.7",Languages!A:J,VLOOKUP($X$6,Languages!$C$2:$D$10,2,FALSE),FALSE)</f>
        <v>Part name</v>
      </c>
      <c r="U9" s="7"/>
      <c r="V9" s="637"/>
      <c r="W9" s="638"/>
      <c r="X9" s="638"/>
      <c r="Y9" s="638"/>
      <c r="Z9" s="639"/>
    </row>
    <row r="10" spans="2:27" ht="15.75" thickBot="1" x14ac:dyDescent="0.3">
      <c r="B10" s="615"/>
      <c r="C10" s="616"/>
      <c r="D10" s="616"/>
      <c r="E10" s="617"/>
      <c r="F10" s="37"/>
      <c r="G10" s="33" t="str">
        <f>VLOOKUP("0.4",Languages!A:J,VLOOKUP($X$6,Languages!$C$2:$D$10,2,FALSE),FALSE)</f>
        <v>Telephone</v>
      </c>
      <c r="H10" s="3"/>
      <c r="I10" s="3"/>
      <c r="J10" s="3"/>
      <c r="K10" s="3"/>
      <c r="L10" s="3"/>
      <c r="M10" s="3"/>
      <c r="N10" s="3"/>
      <c r="O10" s="301"/>
      <c r="P10" s="38"/>
      <c r="Q10" s="238" t="str">
        <f>VLOOKUP("0.04",Languages!A:J,VLOOKUP($X$6,Languages!$C$2:$D$10,2,FALSE),FALSE)</f>
        <v>calculated</v>
      </c>
      <c r="R10" s="282"/>
      <c r="S10" s="38"/>
      <c r="T10" s="33" t="str">
        <f>VLOOKUP("0.8",Languages!A:J,VLOOKUP($X$6,Languages!$C$2:$D$10,2,FALSE),FALSE)</f>
        <v>Quotation date</v>
      </c>
      <c r="U10" s="38"/>
      <c r="V10" s="641"/>
      <c r="W10" s="642"/>
      <c r="X10" s="642"/>
      <c r="Y10" s="642"/>
      <c r="Z10" s="643"/>
    </row>
    <row r="11" spans="2:27" ht="15.75" thickBot="1" x14ac:dyDescent="0.3">
      <c r="B11" s="1"/>
      <c r="C11" s="1"/>
      <c r="D11" s="1"/>
      <c r="S11" s="644"/>
      <c r="T11" s="644"/>
      <c r="U11" s="644"/>
    </row>
    <row r="12" spans="2:27" x14ac:dyDescent="0.25">
      <c r="B12" s="5" t="str">
        <f>VLOOKUP("0.9",Languages!A:J,VLOOKUP($X$6,Languages!$C$2:$D$10,2,FALSE),FALSE)</f>
        <v>Premises</v>
      </c>
      <c r="C12" s="43"/>
      <c r="D12" s="44"/>
      <c r="F12" s="39"/>
      <c r="G12" s="40"/>
      <c r="H12" s="40"/>
      <c r="I12" s="40"/>
      <c r="J12" s="40"/>
      <c r="K12" s="40"/>
      <c r="L12" s="40"/>
      <c r="M12" s="40"/>
      <c r="N12" s="40"/>
      <c r="O12" s="40"/>
      <c r="P12" s="635" t="s">
        <v>4</v>
      </c>
      <c r="Q12" s="635"/>
      <c r="R12" s="635"/>
      <c r="S12" s="635"/>
      <c r="T12" s="40"/>
      <c r="U12" s="636" t="s">
        <v>5</v>
      </c>
      <c r="V12" s="636"/>
      <c r="W12" s="636"/>
      <c r="X12" s="636"/>
      <c r="Y12" s="40"/>
      <c r="Z12" s="4"/>
    </row>
    <row r="13" spans="2:27" x14ac:dyDescent="0.25">
      <c r="B13" s="36"/>
      <c r="D13" s="41"/>
      <c r="F13" s="36"/>
      <c r="G13" s="22"/>
      <c r="H13" s="22"/>
      <c r="I13" s="22"/>
      <c r="J13" s="22"/>
      <c r="K13" s="22"/>
      <c r="L13" s="22"/>
      <c r="M13" s="22"/>
      <c r="N13" s="22"/>
      <c r="O13" s="22"/>
      <c r="P13" s="277" t="s">
        <v>6</v>
      </c>
      <c r="Q13" s="466" t="str">
        <f>D18&amp;" "&amp;VLOOKUP(13.3,Languages!A:J,VLOOKUP($X$6,Languages!$C$2:$D$10,2,FALSE),FALSE)</f>
        <v xml:space="preserve"> /unit</v>
      </c>
      <c r="R13" s="277" t="str">
        <f>VLOOKUP("0.25",Languages!A:J,VLOOKUP($X$6,Languages!$C$2:$D$10,2,FALSE),FALSE)</f>
        <v>Fraction</v>
      </c>
      <c r="S13" s="277"/>
      <c r="T13" s="35"/>
      <c r="U13" s="277" t="s">
        <v>6</v>
      </c>
      <c r="V13" s="14" t="str">
        <f>"kg Co2e"&amp;" "&amp;VLOOKUP(13.3,Languages!A:J,VLOOKUP($X$6,Languages!$C$2:$D$10,2,FALSE),FALSE)</f>
        <v>kg Co2e /unit</v>
      </c>
      <c r="W13" s="466" t="str">
        <f>VLOOKUP("0.25",Languages!A:J,VLOOKUP($X$6,Languages!$C$2:$D$10,2,FALSE),FALSE)</f>
        <v>Fraction</v>
      </c>
      <c r="X13" s="466"/>
      <c r="Z13" s="41"/>
    </row>
    <row r="14" spans="2:27" x14ac:dyDescent="0.25">
      <c r="B14" s="6"/>
      <c r="C14" s="31" t="str">
        <f>VLOOKUP("0.10",Languages!A:J,VLOOKUP($X$6,Languages!$C$2:$D$10,2,FALSE),FALSE)</f>
        <v>Project time (years)</v>
      </c>
      <c r="D14" s="304"/>
      <c r="F14" s="36"/>
      <c r="G14" s="309"/>
      <c r="I14" s="311"/>
      <c r="K14" s="59"/>
      <c r="M14" s="61"/>
      <c r="N14" s="22">
        <v>1</v>
      </c>
      <c r="O14" s="460" t="str">
        <f>VLOOKUP(N14,Languages!A:J,VLOOKUP($X$6,Languages!$C$2:$D$10,2,FALSE),FALSE)</f>
        <v>Raw materials</v>
      </c>
      <c r="P14" s="469"/>
      <c r="Q14" s="568">
        <f>'Material (1,2,3)'!Y34</f>
        <v>0</v>
      </c>
      <c r="R14" s="459">
        <f t="shared" ref="R14:R20" si="0">IF(Q14=0,0,Q14/$Q$44)</f>
        <v>0</v>
      </c>
      <c r="S14" s="459">
        <f>R14</f>
        <v>0</v>
      </c>
      <c r="T14" s="470"/>
      <c r="U14" s="469"/>
      <c r="V14" s="567">
        <f>'Material (1,2,3)'!AI34</f>
        <v>0</v>
      </c>
      <c r="W14" s="463">
        <f>IF(V14=0,0,V14/$V$44)</f>
        <v>0</v>
      </c>
      <c r="X14" s="459">
        <f>W14</f>
        <v>0</v>
      </c>
      <c r="Z14" s="41"/>
    </row>
    <row r="15" spans="2:27" x14ac:dyDescent="0.25">
      <c r="B15" s="6"/>
      <c r="C15" s="32" t="str">
        <f>VLOOKUP("0.11",Languages!A:J,VLOOKUP($X$6,Languages!$C$2:$D$10,2,FALSE),FALSE)</f>
        <v>Average annual quantity</v>
      </c>
      <c r="D15" s="305"/>
      <c r="F15" s="36"/>
      <c r="G15" s="309"/>
      <c r="I15" s="311"/>
      <c r="K15" s="59"/>
      <c r="M15" s="61"/>
      <c r="N15" s="22">
        <v>2</v>
      </c>
      <c r="O15" s="468" t="str">
        <f>VLOOKUP(N15,Languages!A:J,VLOOKUP($X$6,Languages!$C$2:$D$10,2,FALSE),FALSE)</f>
        <v>Purchased parts</v>
      </c>
      <c r="P15" s="468"/>
      <c r="Q15" s="568">
        <f>'Material (1,2,3)'!Z34</f>
        <v>0</v>
      </c>
      <c r="R15" s="459">
        <f t="shared" si="0"/>
        <v>0</v>
      </c>
      <c r="S15" s="459">
        <f t="shared" ref="S15:S20" si="1">R15</f>
        <v>0</v>
      </c>
      <c r="T15" s="468"/>
      <c r="U15" s="468"/>
      <c r="V15" s="567">
        <f>'Material (1,2,3)'!AJ34</f>
        <v>0</v>
      </c>
      <c r="W15" s="463">
        <f>IF(V15=0,0,V15/$V$44)</f>
        <v>0</v>
      </c>
      <c r="X15" s="459">
        <f t="shared" ref="X15:X44" si="2">W15</f>
        <v>0</v>
      </c>
      <c r="Z15" s="41"/>
    </row>
    <row r="16" spans="2:27" x14ac:dyDescent="0.25">
      <c r="B16" s="6"/>
      <c r="C16" s="32" t="str">
        <f>VLOOKUP("0.12",Languages!A:J,VLOOKUP($X$6,Languages!$C$2:$D$10,2,FALSE),FALSE)</f>
        <v>Manufacturing lot size</v>
      </c>
      <c r="D16" s="304"/>
      <c r="F16" s="36"/>
      <c r="G16" s="309"/>
      <c r="I16" s="311"/>
      <c r="K16" s="59"/>
      <c r="M16" s="61"/>
      <c r="N16" s="495">
        <v>3</v>
      </c>
      <c r="O16" s="496" t="str">
        <f>VLOOKUP(N16,Languages!A:J,VLOOKUP($X$6,Languages!$C$2:$D$10,2,FALSE),FALSE)</f>
        <v>Direct material</v>
      </c>
      <c r="P16" s="472"/>
      <c r="Q16" s="558">
        <f>SUM(Q14:Q15)</f>
        <v>0</v>
      </c>
      <c r="R16" s="459">
        <f t="shared" si="0"/>
        <v>0</v>
      </c>
      <c r="S16" s="459">
        <f t="shared" si="1"/>
        <v>0</v>
      </c>
      <c r="T16" s="123"/>
      <c r="U16" s="83"/>
      <c r="V16" s="281">
        <f>SUM(V14:V15)</f>
        <v>0</v>
      </c>
      <c r="W16" s="463">
        <f>IF(V16=0,0,V16/$V$44)</f>
        <v>0</v>
      </c>
      <c r="X16" s="459">
        <f t="shared" si="2"/>
        <v>0</v>
      </c>
      <c r="Z16" s="41"/>
    </row>
    <row r="17" spans="2:26" x14ac:dyDescent="0.25">
      <c r="B17" s="6"/>
      <c r="C17" s="32" t="str">
        <f>VLOOKUP("0.13",Languages!A:J,VLOOKUP($X$6,Languages!$C$2:$D$10,2,FALSE),FALSE)</f>
        <v>Production site</v>
      </c>
      <c r="D17" s="304"/>
      <c r="F17" s="36"/>
      <c r="G17" s="309"/>
      <c r="I17" s="311"/>
      <c r="K17" s="59"/>
      <c r="M17" s="61"/>
      <c r="N17" s="22">
        <v>4</v>
      </c>
      <c r="O17" s="460" t="str">
        <f>VLOOKUP(N17,Languages!A:J,VLOOKUP($X$6,Languages!$C$2:$D$10,2,FALSE),FALSE)</f>
        <v>Material scrap</v>
      </c>
      <c r="Q17" s="568">
        <f>'Material (1,2,3)'!AB34</f>
        <v>0</v>
      </c>
      <c r="R17" s="459">
        <f t="shared" si="0"/>
        <v>0</v>
      </c>
      <c r="S17" s="459">
        <f t="shared" si="1"/>
        <v>0</v>
      </c>
      <c r="T17" s="476"/>
      <c r="U17" s="477"/>
      <c r="V17" s="280">
        <v>0</v>
      </c>
      <c r="W17" s="463">
        <f>IF(V17=0,0,V17/$V$44)</f>
        <v>0</v>
      </c>
      <c r="X17" s="459">
        <f t="shared" si="2"/>
        <v>0</v>
      </c>
      <c r="Z17" s="41"/>
    </row>
    <row r="18" spans="2:26" x14ac:dyDescent="0.25">
      <c r="B18" s="36"/>
      <c r="C18" s="32" t="str">
        <f>VLOOKUP("0.14",Languages!A:J,VLOOKUP($X$6,Languages!$C$2:$D$10,2,FALSE),FALSE)</f>
        <v>Quotation currency</v>
      </c>
      <c r="D18" s="541"/>
      <c r="F18" s="36"/>
      <c r="G18" s="309"/>
      <c r="I18" s="311"/>
      <c r="K18" s="59"/>
      <c r="M18" s="61"/>
      <c r="N18" s="22">
        <v>5</v>
      </c>
      <c r="O18" s="460" t="str">
        <f>VLOOKUP(N18,Languages!A:J,VLOOKUP($X$6,Languages!$C$2:$D$10,2,FALSE),FALSE)</f>
        <v>Material overhead</v>
      </c>
      <c r="P18" s="492">
        <f>IF(Q16=0,0,Q18/Q16)</f>
        <v>0</v>
      </c>
      <c r="Q18" s="569">
        <f>'Material (1,2,3)'!AA34</f>
        <v>0</v>
      </c>
      <c r="R18" s="459">
        <f t="shared" si="0"/>
        <v>0</v>
      </c>
      <c r="S18" s="459">
        <f t="shared" si="1"/>
        <v>0</v>
      </c>
      <c r="T18" s="474"/>
      <c r="U18" s="306">
        <v>0</v>
      </c>
      <c r="V18" s="280">
        <v>0</v>
      </c>
      <c r="W18" s="463">
        <f>IF(V18=0,0,V18/$V$44)</f>
        <v>0</v>
      </c>
      <c r="X18" s="459">
        <f t="shared" si="2"/>
        <v>0</v>
      </c>
      <c r="Z18" s="41"/>
    </row>
    <row r="19" spans="2:26" x14ac:dyDescent="0.25">
      <c r="B19" s="36"/>
      <c r="C19" s="32" t="str">
        <f>VLOOKUP("0.15",Languages!A:J,VLOOKUP($X$6,Languages!$C$2:$D$10,2,FALSE),FALSE)</f>
        <v>Quotation unit</v>
      </c>
      <c r="D19" s="541" t="s">
        <v>7</v>
      </c>
      <c r="F19" s="36"/>
      <c r="G19" s="309"/>
      <c r="I19" s="311"/>
      <c r="K19" s="59"/>
      <c r="M19" s="61"/>
      <c r="N19" s="22">
        <v>6</v>
      </c>
      <c r="O19" s="460" t="str">
        <f>VLOOKUP(N19,Languages!A:J,VLOOKUP($X$6,Languages!$C$2:$D$10,2,FALSE),FALSE)</f>
        <v>Interest material</v>
      </c>
      <c r="Q19" s="560">
        <v>0</v>
      </c>
      <c r="R19" s="459">
        <f t="shared" si="0"/>
        <v>0</v>
      </c>
      <c r="S19" s="459">
        <f t="shared" si="1"/>
        <v>0</v>
      </c>
      <c r="T19" s="468"/>
      <c r="U19" s="468"/>
      <c r="Z19" s="41"/>
    </row>
    <row r="20" spans="2:26" x14ac:dyDescent="0.25">
      <c r="B20" s="36"/>
      <c r="C20" s="32" t="str">
        <f>VLOOKUP("0.151",Languages!A:J,VLOOKUP($X$6,Languages!$C$2:$D$10,2,FALSE),FALSE)</f>
        <v>Date of calculation</v>
      </c>
      <c r="D20" s="300"/>
      <c r="F20" s="36"/>
      <c r="G20" s="309"/>
      <c r="I20" s="311"/>
      <c r="K20" s="59"/>
      <c r="M20" s="61"/>
      <c r="N20" s="62">
        <v>7</v>
      </c>
      <c r="O20" s="458" t="str">
        <f>VLOOKUP(N20,Languages!A:J,VLOOKUP($X$6,Languages!$C$2:$D$10,2,FALSE),FALSE)</f>
        <v>Material</v>
      </c>
      <c r="P20" s="45"/>
      <c r="Q20" s="558">
        <f>SUM(Q16:Q19)</f>
        <v>0</v>
      </c>
      <c r="R20" s="459">
        <f t="shared" si="0"/>
        <v>0</v>
      </c>
      <c r="S20" s="459">
        <f t="shared" si="1"/>
        <v>0</v>
      </c>
      <c r="V20" s="281">
        <f>SUM(V16:V18)</f>
        <v>0</v>
      </c>
      <c r="W20" s="463">
        <f>IF(V20=0,0,V20/$V$44)</f>
        <v>0</v>
      </c>
      <c r="X20" s="459">
        <f t="shared" si="2"/>
        <v>0</v>
      </c>
      <c r="Z20" s="41"/>
    </row>
    <row r="21" spans="2:26" x14ac:dyDescent="0.25">
      <c r="B21" s="36"/>
      <c r="D21" s="41"/>
      <c r="F21" s="36"/>
      <c r="G21" s="309"/>
      <c r="I21" s="311"/>
      <c r="K21" s="59"/>
      <c r="N21" s="22"/>
      <c r="Z21" s="41"/>
    </row>
    <row r="22" spans="2:26" x14ac:dyDescent="0.25">
      <c r="B22" s="57" t="str">
        <f>VLOOKUP("0.16",Languages!A:J,VLOOKUP($X$6,Languages!$C$2:$D$10,2,FALSE),FALSE)</f>
        <v>Specific</v>
      </c>
      <c r="C22" s="56"/>
      <c r="D22" s="49"/>
      <c r="F22" s="36"/>
      <c r="G22" s="309"/>
      <c r="I22" s="311"/>
      <c r="K22" s="59"/>
      <c r="M22" s="61"/>
      <c r="N22" s="22">
        <v>8</v>
      </c>
      <c r="O22" s="460" t="str">
        <f>VLOOKUP(N22,Languages!A:J,VLOOKUP($X$6,Languages!$C$2:$D$10,2,FALSE),FALSE)</f>
        <v>Machines</v>
      </c>
      <c r="P22" s="475"/>
      <c r="Q22" s="569">
        <f>'Manufacturing (6,7,8,9)'!AA34</f>
        <v>0</v>
      </c>
      <c r="R22" s="459">
        <f t="shared" ref="R22:R32" si="3">IF(Q22=0,0,Q22/$Q$44)</f>
        <v>0</v>
      </c>
      <c r="S22" s="459">
        <f t="shared" ref="S22:S44" si="4">R22</f>
        <v>0</v>
      </c>
      <c r="T22" s="474"/>
      <c r="U22" s="475"/>
      <c r="V22" s="567">
        <f>'Manufacturing (6,7,8,9)'!AS34</f>
        <v>0</v>
      </c>
      <c r="W22" s="463">
        <f>IF(V22=0,0,V22/$V$44)</f>
        <v>0</v>
      </c>
      <c r="X22" s="459">
        <f t="shared" si="2"/>
        <v>0</v>
      </c>
      <c r="Z22" s="41"/>
    </row>
    <row r="23" spans="2:26" x14ac:dyDescent="0.25">
      <c r="B23" s="36"/>
      <c r="C23" s="31"/>
      <c r="D23" s="41"/>
      <c r="F23" s="36"/>
      <c r="G23" s="309"/>
      <c r="I23" s="311"/>
      <c r="K23" s="58"/>
      <c r="M23" s="61"/>
      <c r="N23" s="22">
        <v>9</v>
      </c>
      <c r="O23" s="460" t="str">
        <f>VLOOKUP(N23,Languages!A:J,VLOOKUP($X$6,Languages!$C$2:$D$10,2,FALSE),FALSE)</f>
        <v>Setup costs</v>
      </c>
      <c r="P23" s="475"/>
      <c r="Q23" s="569">
        <f>'Manufacturing (6,7,8,9)'!AC34</f>
        <v>0</v>
      </c>
      <c r="R23" s="459">
        <f t="shared" si="3"/>
        <v>0</v>
      </c>
      <c r="S23" s="459">
        <f t="shared" si="4"/>
        <v>0</v>
      </c>
      <c r="Z23" s="41"/>
    </row>
    <row r="24" spans="2:26" x14ac:dyDescent="0.25">
      <c r="B24" s="36"/>
      <c r="C24" s="278" t="str">
        <f>IF(VLOOKUP("0.17",Languages!A:J,VLOOKUP($X$6,Languages!$C$2:$D$10,2,FALSE),FALSE)=0,"",VLOOKUP("0.17",Languages!A:J,VLOOKUP($X$6,Languages!$C$2:$D$10,2,FALSE),FALSE))</f>
        <v/>
      </c>
      <c r="D24" s="304"/>
      <c r="F24" s="36"/>
      <c r="G24" s="309"/>
      <c r="I24" s="311"/>
      <c r="K24" s="58"/>
      <c r="M24" s="61"/>
      <c r="N24" s="22">
        <v>10</v>
      </c>
      <c r="O24" s="460" t="str">
        <f>VLOOKUP(N24,Languages!A:J,VLOOKUP($X$6,Languages!$C$2:$D$10,2,FALSE),FALSE)</f>
        <v>Direct labor</v>
      </c>
      <c r="P24" s="475"/>
      <c r="Q24" s="569">
        <f>'Manufacturing (6,7,8,9)'!AB34</f>
        <v>0</v>
      </c>
      <c r="R24" s="459">
        <f t="shared" si="3"/>
        <v>0</v>
      </c>
      <c r="S24" s="459">
        <f t="shared" si="4"/>
        <v>0</v>
      </c>
      <c r="Z24" s="41"/>
    </row>
    <row r="25" spans="2:26" x14ac:dyDescent="0.25">
      <c r="B25" s="36"/>
      <c r="C25" s="276" t="str">
        <f>IF(VLOOKUP("0.18",Languages!A:J,VLOOKUP($X$6,Languages!$C$2:$D$10,2,FALSE),FALSE)=0,"",VLOOKUP("0.18",Languages!A:J,VLOOKUP($X$6,Languages!$C$2:$D$10,2,FALSE),FALSE))</f>
        <v/>
      </c>
      <c r="D25" s="304"/>
      <c r="F25" s="36"/>
      <c r="G25" s="309"/>
      <c r="I25" s="311"/>
      <c r="K25" s="58"/>
      <c r="M25" s="61"/>
      <c r="N25" s="22">
        <v>11</v>
      </c>
      <c r="O25" s="460" t="str">
        <f>VLOOKUP(N25,Languages!A:J,VLOOKUP($X$6,Languages!$C$2:$D$10,2,FALSE),FALSE)</f>
        <v>Tools and devices, maintenance costs</v>
      </c>
      <c r="P25" s="475"/>
      <c r="Q25" s="569">
        <f>'Manufacturing (6,7,8,9)'!AE34</f>
        <v>0</v>
      </c>
      <c r="R25" s="459">
        <f t="shared" si="3"/>
        <v>0</v>
      </c>
      <c r="S25" s="459">
        <f t="shared" si="4"/>
        <v>0</v>
      </c>
      <c r="Z25" s="41"/>
    </row>
    <row r="26" spans="2:26" x14ac:dyDescent="0.25">
      <c r="B26" s="36"/>
      <c r="C26" s="276" t="str">
        <f>IF(VLOOKUP("0.19",Languages!A:J,VLOOKUP($X$6,Languages!$C$2:$D$10,2,FALSE),FALSE)=0,"",VLOOKUP("0.19",Languages!A:J,VLOOKUP($X$6,Languages!$C$2:$D$10,2,FALSE),FALSE))</f>
        <v/>
      </c>
      <c r="D26" s="304"/>
      <c r="F26" s="36"/>
      <c r="G26" s="309"/>
      <c r="I26" s="311"/>
      <c r="K26" s="58"/>
      <c r="M26" s="61"/>
      <c r="N26" s="22">
        <v>12</v>
      </c>
      <c r="O26" s="468" t="str">
        <f>VLOOKUP(N26,Languages!A:J,VLOOKUP($X$6,Languages!$C$2:$D$10,2,FALSE),FALSE)</f>
        <v>Process manufacturing</v>
      </c>
      <c r="P26" s="468"/>
      <c r="Q26" s="569">
        <f>'Manufacturing (6,7,8,9)'!AD34</f>
        <v>0</v>
      </c>
      <c r="R26" s="459">
        <f t="shared" si="3"/>
        <v>0</v>
      </c>
      <c r="S26" s="459">
        <f t="shared" ref="S26" si="5">R26</f>
        <v>0</v>
      </c>
      <c r="T26" s="479"/>
      <c r="U26" s="483"/>
      <c r="V26" s="567">
        <f>'Manufacturing (6,7,8,9)'!AT34</f>
        <v>0</v>
      </c>
      <c r="W26" s="463">
        <f>IF(V26=0,0,V26/$V$44)</f>
        <v>0</v>
      </c>
      <c r="X26" s="459">
        <f t="shared" si="2"/>
        <v>0</v>
      </c>
      <c r="Z26" s="41"/>
    </row>
    <row r="27" spans="2:26" x14ac:dyDescent="0.25">
      <c r="B27" s="36"/>
      <c r="C27" s="276" t="str">
        <f>IF(VLOOKUP("0.20",Languages!A:J,VLOOKUP($X$6,Languages!$C$2:$D$10,2,FALSE),FALSE)=0,"",VLOOKUP("0.20",Languages!A:J,VLOOKUP($X$6,Languages!$C$2:$D$10,2,FALSE),FALSE))</f>
        <v/>
      </c>
      <c r="D27" s="304"/>
      <c r="F27" s="36"/>
      <c r="G27" s="309"/>
      <c r="I27" s="311"/>
      <c r="K27" s="58"/>
      <c r="M27" s="61"/>
      <c r="N27" s="62">
        <v>13</v>
      </c>
      <c r="O27" s="471" t="str">
        <f>VLOOKUP(N27,Languages!A:J,VLOOKUP($X$6,Languages!$C$2:$D$10,2,FALSE),FALSE)</f>
        <v>Manufacturing I</v>
      </c>
      <c r="P27" s="472"/>
      <c r="Q27" s="558">
        <f>SUM(Q22:Q26)</f>
        <v>0</v>
      </c>
      <c r="R27" s="459">
        <f t="shared" si="3"/>
        <v>0</v>
      </c>
      <c r="S27" s="459">
        <f t="shared" si="4"/>
        <v>0</v>
      </c>
      <c r="T27" s="84"/>
      <c r="U27" s="83"/>
      <c r="V27" s="281">
        <f>SUM(V26,V22)</f>
        <v>0</v>
      </c>
      <c r="W27" s="463">
        <f>IF(V27=0,0,V27/$V$44)</f>
        <v>0</v>
      </c>
      <c r="X27" s="459">
        <f t="shared" si="2"/>
        <v>0</v>
      </c>
      <c r="Z27" s="41"/>
    </row>
    <row r="28" spans="2:26" x14ac:dyDescent="0.25">
      <c r="B28" s="36"/>
      <c r="C28" s="276" t="str">
        <f>IF(VLOOKUP("0.21",Languages!A:J,VLOOKUP($X$6,Languages!$C$2:$D$10,2,FALSE),FALSE)=0,"",VLOOKUP("0.21",Languages!A:J,VLOOKUP($X$6,Languages!$C$2:$D$10,2,FALSE),FALSE))</f>
        <v/>
      </c>
      <c r="D28" s="304"/>
      <c r="F28" s="36"/>
      <c r="G28" s="309"/>
      <c r="I28" s="311"/>
      <c r="K28" s="58"/>
      <c r="M28" s="61"/>
      <c r="N28" s="22">
        <v>14</v>
      </c>
      <c r="O28" s="460" t="str">
        <f>VLOOKUP(N28,Languages!A:J,VLOOKUP($X$6,Languages!$C$2:$D$10,2,FALSE),FALSE)</f>
        <v>Manufacturing overhead</v>
      </c>
      <c r="P28" s="492">
        <f>IF(Q27=0,0,Q28/Q27)</f>
        <v>0</v>
      </c>
      <c r="Q28" s="569">
        <f>'Manufacturing (6,7,8,9)'!AG34</f>
        <v>0</v>
      </c>
      <c r="R28" s="459">
        <f t="shared" si="3"/>
        <v>0</v>
      </c>
      <c r="S28" s="459">
        <f t="shared" si="4"/>
        <v>0</v>
      </c>
      <c r="T28" s="476"/>
      <c r="U28" s="477"/>
      <c r="Z28" s="41"/>
    </row>
    <row r="29" spans="2:26" x14ac:dyDescent="0.25">
      <c r="B29" s="36"/>
      <c r="C29" s="276" t="str">
        <f>IF(VLOOKUP("0.22",Languages!A:J,VLOOKUP($X$6,Languages!$C$2:$D$10,2,FALSE),FALSE)=0,"",VLOOKUP("0.22",Languages!A:J,VLOOKUP($X$6,Languages!$C$2:$D$10,2,FALSE),FALSE))</f>
        <v/>
      </c>
      <c r="D29" s="304"/>
      <c r="F29" s="36"/>
      <c r="G29" s="309"/>
      <c r="I29" s="311"/>
      <c r="K29" s="58"/>
      <c r="M29" s="61"/>
      <c r="N29" s="22">
        <v>15</v>
      </c>
      <c r="O29" s="460" t="str">
        <f>VLOOKUP(N29,Languages!A:J,VLOOKUP($X$6,Languages!$C$2:$D$10,2,FALSE),FALSE)</f>
        <v>Manuf. scrap</v>
      </c>
      <c r="P29" s="469"/>
      <c r="Q29" s="568">
        <f>'Manufacturing (6,7,8,9)'!AH34</f>
        <v>0</v>
      </c>
      <c r="R29" s="459">
        <f t="shared" si="3"/>
        <v>0</v>
      </c>
      <c r="S29" s="459">
        <f t="shared" si="4"/>
        <v>0</v>
      </c>
      <c r="T29" s="476"/>
      <c r="U29" s="477"/>
      <c r="V29" s="567">
        <f>'Manufacturing (6,7,8,9)'!AU34</f>
        <v>0</v>
      </c>
      <c r="W29" s="463">
        <f>IF(V29=0,0,V29/$V$44)</f>
        <v>0</v>
      </c>
      <c r="X29" s="459">
        <f t="shared" si="2"/>
        <v>0</v>
      </c>
      <c r="Z29" s="41"/>
    </row>
    <row r="30" spans="2:26" x14ac:dyDescent="0.25">
      <c r="B30" s="36"/>
      <c r="C30" s="276" t="str">
        <f>IF(VLOOKUP("0.22",Languages!A:J,VLOOKUP($X$6,Languages!$C$2:$D$10,2,FALSE),FALSE)=0,"",VLOOKUP("0.22",Languages!A:J,VLOOKUP($X$6,Languages!$C$2:$D$10,2,FALSE),FALSE))</f>
        <v/>
      </c>
      <c r="D30" s="304"/>
      <c r="F30" s="36"/>
      <c r="G30" s="309"/>
      <c r="I30" s="311"/>
      <c r="K30" s="58"/>
      <c r="M30" s="61"/>
      <c r="N30" s="22">
        <v>16</v>
      </c>
      <c r="O30" s="460" t="str">
        <f>VLOOKUP(N30,Languages!A:J,VLOOKUP($X$6,Languages!$C$2:$D$10,2,FALSE),FALSE)</f>
        <v>Tools and devices allocated</v>
      </c>
      <c r="P30" s="469"/>
      <c r="Q30" s="569">
        <f>'Tools and Devices (16,24)'!N37</f>
        <v>0</v>
      </c>
      <c r="R30" s="459">
        <f t="shared" si="3"/>
        <v>0</v>
      </c>
      <c r="S30" s="459">
        <f t="shared" si="4"/>
        <v>0</v>
      </c>
      <c r="T30" s="476"/>
      <c r="U30" s="477"/>
      <c r="V30" s="567">
        <f>'Tools and Devices (16,24)'!Q37</f>
        <v>0</v>
      </c>
      <c r="W30" s="463">
        <f>IF(V30=0,0,V30/$V$44)</f>
        <v>0</v>
      </c>
      <c r="X30" s="459">
        <f t="shared" si="2"/>
        <v>0</v>
      </c>
      <c r="Z30" s="41"/>
    </row>
    <row r="31" spans="2:26" x14ac:dyDescent="0.25">
      <c r="B31" s="36"/>
      <c r="C31" s="276"/>
      <c r="D31" s="304"/>
      <c r="F31" s="36"/>
      <c r="G31" s="309"/>
      <c r="I31" s="311"/>
      <c r="K31" s="58"/>
      <c r="M31" s="61"/>
      <c r="N31" s="22">
        <v>17</v>
      </c>
      <c r="O31" s="468" t="str">
        <f>VLOOKUP(N31,Languages!A:J,VLOOKUP($X$6,Languages!$C$2:$D$10,2,FALSE),FALSE)</f>
        <v>Int. Work in prog.</v>
      </c>
      <c r="P31" s="468"/>
      <c r="Q31" s="560">
        <v>0</v>
      </c>
      <c r="R31" s="459">
        <f t="shared" si="3"/>
        <v>0</v>
      </c>
      <c r="S31" s="459">
        <f t="shared" si="4"/>
        <v>0</v>
      </c>
      <c r="T31" s="484"/>
      <c r="U31" s="485"/>
      <c r="Z31" s="41"/>
    </row>
    <row r="32" spans="2:26" x14ac:dyDescent="0.25">
      <c r="B32" s="36"/>
      <c r="C32" s="276"/>
      <c r="D32" s="304"/>
      <c r="F32" s="36"/>
      <c r="G32" s="309"/>
      <c r="I32" s="311"/>
      <c r="K32" s="58"/>
      <c r="M32" s="61"/>
      <c r="N32" s="62">
        <v>18</v>
      </c>
      <c r="O32" s="48" t="str">
        <f>VLOOKUP(N32,Languages!A:J,VLOOKUP($X$6,Languages!$C$2:$D$10,2,FALSE),FALSE)</f>
        <v>Manufacturing II + III</v>
      </c>
      <c r="Q32" s="558">
        <f>SUM(Q27:Q31)</f>
        <v>0</v>
      </c>
      <c r="R32" s="459">
        <f t="shared" si="3"/>
        <v>0</v>
      </c>
      <c r="S32" s="459">
        <f t="shared" si="4"/>
        <v>0</v>
      </c>
      <c r="T32" s="22"/>
      <c r="U32" s="22"/>
      <c r="V32" s="281">
        <f>SUM(V27,V29:V30)</f>
        <v>0</v>
      </c>
      <c r="W32" s="463">
        <f>IF(V32=0,0,V32/$V$44)</f>
        <v>0</v>
      </c>
      <c r="X32" s="459">
        <f t="shared" si="2"/>
        <v>0</v>
      </c>
      <c r="Z32" s="41"/>
    </row>
    <row r="33" spans="2:27" x14ac:dyDescent="0.25">
      <c r="B33" s="36"/>
      <c r="C33" s="276"/>
      <c r="D33" s="304"/>
      <c r="F33" s="36"/>
      <c r="G33" s="309"/>
      <c r="I33" s="311"/>
      <c r="K33" s="58"/>
      <c r="N33" s="22"/>
      <c r="Z33" s="41"/>
    </row>
    <row r="34" spans="2:27" ht="15" customHeight="1" x14ac:dyDescent="0.25">
      <c r="B34" s="36"/>
      <c r="C34" s="276"/>
      <c r="D34" s="304"/>
      <c r="F34" s="36"/>
      <c r="G34" s="309"/>
      <c r="I34" s="311"/>
      <c r="K34" s="58"/>
      <c r="L34" s="58"/>
      <c r="M34" s="58"/>
      <c r="N34" s="60">
        <v>19</v>
      </c>
      <c r="O34" s="471" t="str">
        <f>VLOOKUP(N34,Languages!A:J,VLOOKUP($X$6,Languages!$C$2:$D$10,2,FALSE),FALSE)</f>
        <v>Production</v>
      </c>
      <c r="P34" s="472"/>
      <c r="Q34" s="558">
        <f>Q20+Q32</f>
        <v>0</v>
      </c>
      <c r="R34" s="459">
        <f t="shared" ref="R34:R44" si="6">IF(Q34=0,0,Q34/$Q$44)</f>
        <v>0</v>
      </c>
      <c r="S34" s="459">
        <f t="shared" si="4"/>
        <v>0</v>
      </c>
      <c r="T34" s="473"/>
      <c r="U34" s="472"/>
      <c r="V34" s="281">
        <f>V20+V32</f>
        <v>0</v>
      </c>
      <c r="W34" s="463">
        <f>IF(V34=0,0,V34/$V$44)</f>
        <v>0</v>
      </c>
      <c r="X34" s="459">
        <f t="shared" ref="X34" si="7">W34</f>
        <v>0</v>
      </c>
      <c r="Z34" s="41"/>
    </row>
    <row r="35" spans="2:27" x14ac:dyDescent="0.25">
      <c r="B35" s="464"/>
      <c r="C35" s="12"/>
      <c r="D35" s="465"/>
      <c r="F35" s="36"/>
      <c r="G35" s="309"/>
      <c r="I35" s="311"/>
      <c r="N35" s="22">
        <v>20</v>
      </c>
      <c r="O35" s="460" t="str">
        <f>VLOOKUP(N35,Languages!A:J,VLOOKUP($X$6,Languages!$C$2:$D$10,2,FALSE),FALSE)</f>
        <v>Specific development costs allocated</v>
      </c>
      <c r="Q35" s="561">
        <v>0</v>
      </c>
      <c r="R35" s="459">
        <f t="shared" si="6"/>
        <v>0</v>
      </c>
      <c r="S35" s="459">
        <f>R35</f>
        <v>0</v>
      </c>
      <c r="T35" s="476"/>
      <c r="U35" s="7"/>
      <c r="Z35" s="41"/>
    </row>
    <row r="36" spans="2:27" x14ac:dyDescent="0.25">
      <c r="B36" s="54" t="str">
        <f>VLOOKUP("0.23",Languages!A:J,VLOOKUP($X$6,Languages!$C$2:$D$10,2,FALSE),FALSE)</f>
        <v>Special agreements</v>
      </c>
      <c r="C36" s="55"/>
      <c r="D36" s="49"/>
      <c r="F36" s="36"/>
      <c r="G36" s="309"/>
      <c r="I36" s="311"/>
      <c r="N36" s="22">
        <v>21</v>
      </c>
      <c r="O36" s="460" t="str">
        <f>VLOOKUP(N36,Languages!A:J,VLOOKUP($X$6,Languages!$C$2:$D$10,2,FALSE),FALSE)</f>
        <v>Sales and general administration costs</v>
      </c>
      <c r="P36" s="306">
        <v>0</v>
      </c>
      <c r="Q36" s="569">
        <f>P36*Q34</f>
        <v>0</v>
      </c>
      <c r="R36" s="459">
        <f t="shared" si="6"/>
        <v>0</v>
      </c>
      <c r="S36" s="459">
        <f t="shared" si="4"/>
        <v>0</v>
      </c>
      <c r="T36" s="476"/>
      <c r="U36" s="477"/>
      <c r="V36" s="307">
        <v>0</v>
      </c>
      <c r="W36" s="463">
        <f>IF(V36=0,0,V36/$V$44)</f>
        <v>0</v>
      </c>
      <c r="X36" s="459">
        <f t="shared" si="2"/>
        <v>0</v>
      </c>
      <c r="Z36" s="41"/>
    </row>
    <row r="37" spans="2:27" x14ac:dyDescent="0.25">
      <c r="B37" s="645" t="s">
        <v>8</v>
      </c>
      <c r="C37" s="604"/>
      <c r="D37" s="605"/>
      <c r="F37" s="36"/>
      <c r="G37" s="309"/>
      <c r="I37" s="311"/>
      <c r="N37" s="22">
        <v>22</v>
      </c>
      <c r="O37" s="460" t="str">
        <f>VLOOKUP(N37,Languages!A:J,VLOOKUP($X$6,Languages!$C$2:$D$10,2,FALSE),FALSE)</f>
        <v>Research and development costs</v>
      </c>
      <c r="P37" s="306">
        <v>0</v>
      </c>
      <c r="Q37" s="559">
        <f>P37*Q34</f>
        <v>0</v>
      </c>
      <c r="R37" s="459">
        <f t="shared" si="6"/>
        <v>0</v>
      </c>
      <c r="S37" s="459">
        <f t="shared" si="4"/>
        <v>0</v>
      </c>
      <c r="T37" s="476"/>
      <c r="U37" s="7"/>
      <c r="Z37" s="41"/>
    </row>
    <row r="38" spans="2:27" x14ac:dyDescent="0.25">
      <c r="B38" s="606"/>
      <c r="C38" s="607"/>
      <c r="D38" s="608"/>
      <c r="F38" s="36"/>
      <c r="G38" s="309"/>
      <c r="I38" s="311"/>
      <c r="N38" s="22">
        <v>23</v>
      </c>
      <c r="O38" s="460" t="str">
        <f>VLOOKUP(N38,Languages!A:J,VLOOKUP($X$6,Languages!$C$2:$D$10,2,FALSE),FALSE)</f>
        <v>Others</v>
      </c>
      <c r="P38" s="478"/>
      <c r="Q38" s="561">
        <v>0</v>
      </c>
      <c r="R38" s="459">
        <f t="shared" si="6"/>
        <v>0</v>
      </c>
      <c r="S38" s="459">
        <f t="shared" si="4"/>
        <v>0</v>
      </c>
      <c r="T38" s="484"/>
      <c r="U38" s="486"/>
      <c r="V38" s="307">
        <v>0</v>
      </c>
      <c r="W38" s="463">
        <f>IF(V38=0,0,V38/$V$44)</f>
        <v>0</v>
      </c>
      <c r="X38" s="459">
        <f t="shared" si="2"/>
        <v>0</v>
      </c>
      <c r="Z38" s="41"/>
    </row>
    <row r="39" spans="2:27" x14ac:dyDescent="0.25">
      <c r="B39" s="606"/>
      <c r="C39" s="607"/>
      <c r="D39" s="608"/>
      <c r="F39" s="36"/>
      <c r="G39" s="309"/>
      <c r="I39" s="311"/>
      <c r="J39" s="311"/>
      <c r="K39" s="311"/>
      <c r="L39" s="311"/>
      <c r="M39" s="311"/>
      <c r="N39" s="462">
        <v>24</v>
      </c>
      <c r="O39" s="471" t="str">
        <f>VLOOKUP(N39,Languages!A:J,VLOOKUP($X$6,Languages!$C$2:$D$10,2,FALSE),FALSE)</f>
        <v>Prime</v>
      </c>
      <c r="P39" s="472"/>
      <c r="Q39" s="558">
        <f>SUM(Q34:Q38)</f>
        <v>0</v>
      </c>
      <c r="R39" s="459">
        <f t="shared" si="6"/>
        <v>0</v>
      </c>
      <c r="S39" s="459">
        <f t="shared" si="4"/>
        <v>0</v>
      </c>
      <c r="Z39" s="41"/>
    </row>
    <row r="40" spans="2:27" x14ac:dyDescent="0.25">
      <c r="B40" s="606"/>
      <c r="C40" s="607"/>
      <c r="D40" s="608"/>
      <c r="F40" s="36"/>
      <c r="G40" s="309"/>
      <c r="N40" s="22">
        <v>25</v>
      </c>
      <c r="O40" s="22" t="str">
        <f>VLOOKUP(N40,Languages!A:J,VLOOKUP($X$6,Languages!$C$2:$D$10,2,FALSE),FALSE)</f>
        <v>Profit</v>
      </c>
      <c r="P40" s="306">
        <v>0</v>
      </c>
      <c r="Q40" s="566">
        <f>P40*(Q14+Q15+Q22+Q23+Q24+Q25+Q28)</f>
        <v>0</v>
      </c>
      <c r="R40" s="459">
        <f>IF(Q40=0,0,Q40/$Q$44)</f>
        <v>0</v>
      </c>
      <c r="S40" s="459">
        <f t="shared" si="4"/>
        <v>0</v>
      </c>
      <c r="Z40" s="41"/>
    </row>
    <row r="41" spans="2:27" x14ac:dyDescent="0.25">
      <c r="B41" s="606"/>
      <c r="C41" s="607"/>
      <c r="D41" s="608"/>
      <c r="F41" s="36"/>
      <c r="G41" s="309"/>
      <c r="N41" s="22">
        <v>26</v>
      </c>
      <c r="O41" s="46" t="str">
        <f>VLOOKUP(N41,Languages!A:J,VLOOKUP($X$6,Languages!$C$2:$D$10,2,FALSE),FALSE)</f>
        <v>Terms of payment</v>
      </c>
      <c r="P41" s="469"/>
      <c r="Q41" s="561">
        <v>0</v>
      </c>
      <c r="R41" s="459">
        <f t="shared" si="6"/>
        <v>0</v>
      </c>
      <c r="S41" s="459">
        <f t="shared" si="4"/>
        <v>0</v>
      </c>
      <c r="Z41" s="41"/>
    </row>
    <row r="42" spans="2:27" x14ac:dyDescent="0.25">
      <c r="B42" s="646"/>
      <c r="C42" s="647"/>
      <c r="D42" s="648"/>
      <c r="F42" s="36"/>
      <c r="G42" s="309"/>
      <c r="N42" s="22">
        <v>27</v>
      </c>
      <c r="O42" s="46" t="str">
        <f>VLOOKUP(N42,Languages!A:J,VLOOKUP($X$6,Languages!$C$2:$D$10,2,FALSE),FALSE)</f>
        <v>Transport, duties</v>
      </c>
      <c r="P42" s="481"/>
      <c r="Q42" s="561">
        <v>0</v>
      </c>
      <c r="R42" s="459">
        <f t="shared" si="6"/>
        <v>0</v>
      </c>
      <c r="S42" s="459">
        <f t="shared" si="4"/>
        <v>0</v>
      </c>
      <c r="T42" s="487"/>
      <c r="U42" s="488"/>
      <c r="V42" s="307">
        <v>0</v>
      </c>
      <c r="W42" s="463">
        <f t="shared" ref="W42" si="8">IF(V42=0,0,V42/$V$44)</f>
        <v>0</v>
      </c>
      <c r="X42" s="459">
        <f t="shared" si="2"/>
        <v>0</v>
      </c>
      <c r="Z42" s="41"/>
    </row>
    <row r="43" spans="2:27" ht="15.75" thickBot="1" x14ac:dyDescent="0.3">
      <c r="B43" s="503" t="str">
        <f>VLOOKUP("0.24",Languages!A:J,VLOOKUP($X$6,Languages!$C$2:$D$10,2,FALSE),FALSE)</f>
        <v>Comments:</v>
      </c>
      <c r="C43" s="12"/>
      <c r="D43" s="465"/>
      <c r="F43" s="36"/>
      <c r="G43" s="309"/>
      <c r="N43" s="22">
        <v>28</v>
      </c>
      <c r="O43" s="479" t="str">
        <f>VLOOKUP(N43,Languages!A:J,VLOOKUP($X$6,Languages!$C$2:$D$10,2,FALSE),FALSE)</f>
        <v>Carbon tax</v>
      </c>
      <c r="P43" s="480"/>
      <c r="Q43" s="562">
        <v>0</v>
      </c>
      <c r="R43" s="459">
        <f t="shared" si="6"/>
        <v>0</v>
      </c>
      <c r="S43" s="459">
        <f t="shared" si="4"/>
        <v>0</v>
      </c>
      <c r="Z43" s="41"/>
    </row>
    <row r="44" spans="2:27" ht="15.75" thickBot="1" x14ac:dyDescent="0.3">
      <c r="B44" s="603" t="s">
        <v>9</v>
      </c>
      <c r="C44" s="604"/>
      <c r="D44" s="605"/>
      <c r="F44" s="36"/>
      <c r="G44" s="309"/>
      <c r="H44" s="309"/>
      <c r="I44" s="309"/>
      <c r="J44" s="309"/>
      <c r="K44" s="309"/>
      <c r="L44" s="309"/>
      <c r="M44" s="309"/>
      <c r="N44" s="461">
        <v>29</v>
      </c>
      <c r="O44" s="48" t="str">
        <f>VLOOKUP(N44,Languages!A:J,VLOOKUP($X$6,Languages!$C$2:$D$10,2,FALSE),FALSE)</f>
        <v>Net sales price / Carbon footprint</v>
      </c>
      <c r="Q44" s="563">
        <f>SUM(Q39:Q40,Q41:Q43)</f>
        <v>0</v>
      </c>
      <c r="R44" s="459">
        <f t="shared" si="6"/>
        <v>0</v>
      </c>
      <c r="S44" s="459">
        <f t="shared" si="4"/>
        <v>0</v>
      </c>
      <c r="T44" s="123"/>
      <c r="U44" s="489"/>
      <c r="V44" s="310">
        <f>SUM(V34,V36,V38,V42)</f>
        <v>0</v>
      </c>
      <c r="W44" s="463">
        <f>IF(V44=0,0,V44/$V$44)</f>
        <v>0</v>
      </c>
      <c r="X44" s="459">
        <f t="shared" si="2"/>
        <v>0</v>
      </c>
      <c r="Z44" s="41"/>
    </row>
    <row r="45" spans="2:27" x14ac:dyDescent="0.25">
      <c r="B45" s="606"/>
      <c r="C45" s="607"/>
      <c r="D45" s="608"/>
      <c r="F45" s="36"/>
      <c r="Z45" s="41"/>
    </row>
    <row r="46" spans="2:27" x14ac:dyDescent="0.25">
      <c r="B46" s="606"/>
      <c r="C46" s="607"/>
      <c r="D46" s="608"/>
      <c r="F46" s="36"/>
      <c r="O46" s="2" t="str">
        <f>VLOOKUP(23.1,Languages!A:J,VLOOKUP($X$6,Languages!$C$2:$D$10,2,FALSE),FALSE)</f>
        <v>One-time and instalment payments</v>
      </c>
      <c r="Z46" s="41"/>
    </row>
    <row r="47" spans="2:27" x14ac:dyDescent="0.25">
      <c r="B47" s="606"/>
      <c r="C47" s="607"/>
      <c r="D47" s="608"/>
      <c r="F47" s="36"/>
      <c r="N47" s="22">
        <v>30</v>
      </c>
      <c r="O47" s="22" t="str">
        <f>VLOOKUP(N47,Languages!A:J,VLOOKUP($X$6,Languages!$C$2:$D$10,2,FALSE),FALSE)</f>
        <v>Tools and devices</v>
      </c>
      <c r="P47" s="482"/>
      <c r="Q47" s="570">
        <f>'Tools and Devices (16,24)'!L37</f>
        <v>0</v>
      </c>
      <c r="Z47" s="41"/>
    </row>
    <row r="48" spans="2:27" x14ac:dyDescent="0.25">
      <c r="B48" s="606"/>
      <c r="C48" s="607"/>
      <c r="D48" s="608"/>
      <c r="F48" s="36"/>
      <c r="N48" s="22">
        <v>31</v>
      </c>
      <c r="O48" s="47" t="str">
        <f>VLOOKUP(N48,Languages!A:J,VLOOKUP($X$6,Languages!$C$2:$D$10,2,FALSE),FALSE)</f>
        <v>Specific development costs</v>
      </c>
      <c r="Q48" s="308">
        <v>0</v>
      </c>
      <c r="Z48" s="41"/>
      <c r="AA48" t="str">
        <f>O46&amp;": "&amp;O48&amp;": "&amp;Q48</f>
        <v>One-time and instalment payments: Specific development costs: 0</v>
      </c>
    </row>
    <row r="49" spans="2:26" ht="15.75" thickBot="1" x14ac:dyDescent="0.3">
      <c r="B49" s="609"/>
      <c r="C49" s="610"/>
      <c r="D49" s="611"/>
      <c r="F49" s="37"/>
      <c r="G49" s="38"/>
      <c r="H49" s="38"/>
      <c r="I49" s="38"/>
      <c r="J49" s="38"/>
      <c r="K49" s="38"/>
      <c r="L49" s="38"/>
      <c r="M49" s="38"/>
      <c r="N49" s="38"/>
      <c r="O49" s="38"/>
      <c r="P49" s="38"/>
      <c r="Q49" s="38"/>
      <c r="R49" s="38"/>
      <c r="S49" s="38"/>
      <c r="T49" s="38"/>
      <c r="U49" s="38"/>
      <c r="V49" s="38"/>
      <c r="W49" s="38"/>
      <c r="X49" s="38"/>
      <c r="Y49" s="38"/>
      <c r="Z49" s="42"/>
    </row>
    <row r="65" spans="7:7" x14ac:dyDescent="0.25">
      <c r="G65" s="22"/>
    </row>
  </sheetData>
  <mergeCells count="14">
    <mergeCell ref="B44:D49"/>
    <mergeCell ref="B9:E10"/>
    <mergeCell ref="X6:Z6"/>
    <mergeCell ref="F3:U6"/>
    <mergeCell ref="V3:Z4"/>
    <mergeCell ref="V7:Z7"/>
    <mergeCell ref="V8:Z8"/>
    <mergeCell ref="P12:S12"/>
    <mergeCell ref="U12:X12"/>
    <mergeCell ref="V9:Z9"/>
    <mergeCell ref="X5:Z5"/>
    <mergeCell ref="V10:Z10"/>
    <mergeCell ref="S11:U11"/>
    <mergeCell ref="B37:D42"/>
  </mergeCells>
  <conditionalFormatting sqref="S14:S44">
    <cfRule type="dataBar" priority="64">
      <dataBar showValue="0">
        <cfvo type="min"/>
        <cfvo type="max"/>
        <color rgb="FF46AAC1"/>
      </dataBar>
      <extLst>
        <ext xmlns:x14="http://schemas.microsoft.com/office/spreadsheetml/2009/9/main" uri="{B025F937-C7B1-47D3-B67F-A62EFF666E3E}">
          <x14:id>{FDCD8C9D-707B-4EA0-8BEA-5091404D9E12}</x14:id>
        </ext>
      </extLst>
    </cfRule>
  </conditionalFormatting>
  <conditionalFormatting sqref="S16 S44 S20 S27 S32 S34 S39">
    <cfRule type="dataBar" priority="5">
      <dataBar showValue="0">
        <cfvo type="min"/>
        <cfvo type="max"/>
        <color rgb="FF00557D"/>
      </dataBar>
      <extLst>
        <ext xmlns:x14="http://schemas.microsoft.com/office/spreadsheetml/2009/9/main" uri="{B025F937-C7B1-47D3-B67F-A62EFF666E3E}">
          <x14:id>{1F8A8707-2A80-462E-BF41-ADB6A6326D12}</x14:id>
        </ext>
      </extLst>
    </cfRule>
  </conditionalFormatting>
  <conditionalFormatting sqref="X14:X15 X42 X17:X18 X22 X26 X29:X30 X36 X38 X44">
    <cfRule type="dataBar" priority="2">
      <dataBar showValue="0">
        <cfvo type="min"/>
        <cfvo type="max"/>
        <color rgb="FFB4D6D0"/>
      </dataBar>
      <extLst>
        <ext xmlns:x14="http://schemas.microsoft.com/office/spreadsheetml/2009/9/main" uri="{B025F937-C7B1-47D3-B67F-A62EFF666E3E}">
          <x14:id>{A4482CF5-2CFB-4C23-BA21-66EC2D50D042}</x14:id>
        </ext>
      </extLst>
    </cfRule>
  </conditionalFormatting>
  <conditionalFormatting sqref="X16 X44 X20 X27 X32 X34">
    <cfRule type="dataBar" priority="1">
      <dataBar showValue="0">
        <cfvo type="min"/>
        <cfvo type="max"/>
        <color rgb="FF4D7C73"/>
      </dataBar>
      <extLst>
        <ext xmlns:x14="http://schemas.microsoft.com/office/spreadsheetml/2009/9/main" uri="{B025F937-C7B1-47D3-B67F-A62EFF666E3E}">
          <x14:id>{EB6E00F5-5430-4243-9A7D-C5269CB900FD}</x14:id>
        </ext>
      </extLst>
    </cfRule>
  </conditionalFormatting>
  <dataValidations count="3">
    <dataValidation type="list" allowBlank="1" showInputMessage="1" showErrorMessage="1" sqref="D18" xr:uid="{00000000-0002-0000-0000-000000000000}">
      <formula1>QuotationCurrency</formula1>
    </dataValidation>
    <dataValidation type="list" allowBlank="1" showInputMessage="1" showErrorMessage="1" sqref="D19" xr:uid="{00000000-0002-0000-0000-000001000000}">
      <formula1>QuotationUnit</formula1>
    </dataValidation>
    <dataValidation type="list" allowBlank="1" showInputMessage="1" showErrorMessage="1" sqref="X6:Z6" xr:uid="{00000000-0002-0000-0000-000002000000}">
      <formula1>Wording</formula1>
    </dataValidation>
  </dataValidations>
  <printOptions horizontalCentered="1"/>
  <pageMargins left="0.39370078740157483" right="0.39370078740157483" top="0.39370078740157483" bottom="0.39370078740157483" header="0.31496062992125984" footer="0.31496062992125984"/>
  <pageSetup paperSize="9" scale="65" orientation="landscape" r:id="rId1"/>
  <headerFooter>
    <oddFooter>&amp;LUnrestricted</oddFooter>
  </headerFooter>
  <customProperties>
    <customPr name="EpmWorksheetKeyString_GUID" r:id="rId2"/>
  </customProperties>
  <drawing r:id="rId3"/>
  <extLst>
    <ext xmlns:x14="http://schemas.microsoft.com/office/spreadsheetml/2009/9/main" uri="{78C0D931-6437-407d-A8EE-F0AAD7539E65}">
      <x14:conditionalFormattings>
        <x14:conditionalFormatting xmlns:xm="http://schemas.microsoft.com/office/excel/2006/main">
          <x14:cfRule type="dataBar" id="{FDCD8C9D-707B-4EA0-8BEA-5091404D9E12}">
            <x14:dataBar minLength="0" maxLength="100" gradient="0">
              <x14:cfvo type="autoMin"/>
              <x14:cfvo type="autoMax"/>
              <x14:negativeFillColor rgb="FFFF0000"/>
              <x14:axisColor rgb="FF000000"/>
            </x14:dataBar>
          </x14:cfRule>
          <xm:sqref>S14:S44</xm:sqref>
        </x14:conditionalFormatting>
        <x14:conditionalFormatting xmlns:xm="http://schemas.microsoft.com/office/excel/2006/main">
          <x14:cfRule type="dataBar" id="{1F8A8707-2A80-462E-BF41-ADB6A6326D12}">
            <x14:dataBar minLength="0" maxLength="100" gradient="0">
              <x14:cfvo type="autoMin"/>
              <x14:cfvo type="autoMax"/>
              <x14:negativeFillColor rgb="FFFF0000"/>
              <x14:axisColor rgb="FF000000"/>
            </x14:dataBar>
          </x14:cfRule>
          <xm:sqref>S16 S44 S20 S27 S32 S34 S39</xm:sqref>
        </x14:conditionalFormatting>
        <x14:conditionalFormatting xmlns:xm="http://schemas.microsoft.com/office/excel/2006/main">
          <x14:cfRule type="dataBar" id="{A4482CF5-2CFB-4C23-BA21-66EC2D50D042}">
            <x14:dataBar minLength="0" maxLength="100" gradient="0">
              <x14:cfvo type="autoMin"/>
              <x14:cfvo type="autoMax"/>
              <x14:negativeFillColor rgb="FFFF0000"/>
              <x14:axisColor rgb="FF000000"/>
            </x14:dataBar>
          </x14:cfRule>
          <xm:sqref>X14:X15 X42 X17:X18 X22 X26 X29:X30 X36 X38 X44</xm:sqref>
        </x14:conditionalFormatting>
        <x14:conditionalFormatting xmlns:xm="http://schemas.microsoft.com/office/excel/2006/main">
          <x14:cfRule type="dataBar" id="{EB6E00F5-5430-4243-9A7D-C5269CB900FD}">
            <x14:dataBar minLength="0" maxLength="100" gradient="0">
              <x14:cfvo type="autoMin"/>
              <x14:cfvo type="autoMax"/>
              <x14:negativeFillColor rgb="FFFF0000"/>
              <x14:axisColor rgb="FF000000"/>
            </x14:dataBar>
          </x14:cfRule>
          <xm:sqref>X16 X44 X20 X27 X32 X34</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AU37"/>
  <sheetViews>
    <sheetView showGridLines="0" zoomScale="85" zoomScaleNormal="85" zoomScaleSheetLayoutView="100" workbookViewId="0"/>
  </sheetViews>
  <sheetFormatPr baseColWidth="10" defaultColWidth="9.140625" defaultRowHeight="15" x14ac:dyDescent="0.25"/>
  <cols>
    <col min="1" max="1" width="2.28515625" customWidth="1"/>
    <col min="2" max="3" width="4.7109375" customWidth="1"/>
    <col min="4" max="4" width="12.7109375" customWidth="1"/>
    <col min="5" max="6" width="20.7109375" customWidth="1"/>
    <col min="7" max="8" width="12.7109375" customWidth="1"/>
    <col min="9" max="21" width="8.7109375" customWidth="1"/>
    <col min="22" max="22" width="7.85546875" bestFit="1" customWidth="1"/>
    <col min="23" max="23" width="41.140625" hidden="1" customWidth="1"/>
    <col min="24" max="24" width="7.85546875" hidden="1" customWidth="1"/>
    <col min="25" max="25" width="7" hidden="1" customWidth="1"/>
    <col min="26" max="27" width="7.85546875" hidden="1" customWidth="1"/>
    <col min="28" max="28" width="8" hidden="1" customWidth="1"/>
    <col min="29" max="29" width="8.7109375" bestFit="1" customWidth="1"/>
    <col min="30" max="30" width="9.42578125" bestFit="1" customWidth="1"/>
    <col min="31" max="31" width="7.5703125" bestFit="1" customWidth="1"/>
    <col min="32" max="32" width="2.7109375" bestFit="1" customWidth="1"/>
    <col min="33" max="33" width="22.7109375" bestFit="1" customWidth="1"/>
    <col min="34" max="34" width="7.85546875" hidden="1" customWidth="1"/>
    <col min="35" max="35" width="9" hidden="1" customWidth="1"/>
    <col min="36" max="36" width="9.28515625" hidden="1" customWidth="1"/>
    <col min="37" max="37" width="9" hidden="1" customWidth="1"/>
  </cols>
  <sheetData>
    <row r="2" spans="1:47" ht="15.75" thickBot="1" x14ac:dyDescent="0.3"/>
    <row r="3" spans="1:47" ht="15" customHeight="1" x14ac:dyDescent="0.25">
      <c r="B3" s="294"/>
      <c r="C3" s="295"/>
      <c r="D3" s="295"/>
      <c r="E3" s="296"/>
      <c r="F3" s="622" t="str">
        <f>Summary!F3</f>
        <v>BOSCH Material and Process Evaluation (MPE)</v>
      </c>
      <c r="G3" s="622"/>
      <c r="H3" s="622"/>
      <c r="I3" s="622"/>
      <c r="J3" s="622"/>
      <c r="K3" s="622"/>
      <c r="L3" s="622"/>
      <c r="M3" s="622"/>
      <c r="N3" s="622"/>
      <c r="O3" s="622"/>
      <c r="P3" s="622"/>
      <c r="Q3" s="622"/>
      <c r="R3" s="621" t="str">
        <f>VLOOKUP("c",Languages!A:J,VLOOKUP(Summary!X6,Languages!$C$2:$D$10,2,FALSE),FALSE)</f>
        <v>Material</v>
      </c>
      <c r="S3" s="622"/>
      <c r="T3" s="622"/>
      <c r="U3" s="622"/>
      <c r="V3" s="627"/>
    </row>
    <row r="4" spans="1:47" ht="15" customHeight="1" thickBot="1" x14ac:dyDescent="0.3">
      <c r="B4" s="297"/>
      <c r="C4" s="1"/>
      <c r="D4" s="1"/>
      <c r="E4" s="298"/>
      <c r="F4" s="624"/>
      <c r="G4" s="624"/>
      <c r="H4" s="624"/>
      <c r="I4" s="624"/>
      <c r="J4" s="624"/>
      <c r="K4" s="624"/>
      <c r="L4" s="624"/>
      <c r="M4" s="624"/>
      <c r="N4" s="624"/>
      <c r="O4" s="624"/>
      <c r="P4" s="624"/>
      <c r="Q4" s="624"/>
      <c r="R4" s="625"/>
      <c r="S4" s="626"/>
      <c r="T4" s="626"/>
      <c r="U4" s="626"/>
      <c r="V4" s="628"/>
    </row>
    <row r="5" spans="1:47" ht="15" customHeight="1" thickBot="1" x14ac:dyDescent="0.3">
      <c r="B5" s="297"/>
      <c r="C5" s="1"/>
      <c r="D5" s="1"/>
      <c r="E5" s="298"/>
      <c r="F5" s="624"/>
      <c r="G5" s="624"/>
      <c r="H5" s="624"/>
      <c r="I5" s="624"/>
      <c r="J5" s="624"/>
      <c r="K5" s="624"/>
      <c r="L5" s="624"/>
      <c r="M5" s="624"/>
      <c r="N5" s="624"/>
      <c r="O5" s="624"/>
      <c r="P5" s="624"/>
      <c r="Q5" s="624"/>
      <c r="R5" s="138"/>
      <c r="S5" s="204" t="str">
        <f>Summary!W5</f>
        <v>Version</v>
      </c>
      <c r="T5" s="205" t="str">
        <f>Summary!X5</f>
        <v>4.1</v>
      </c>
      <c r="U5" s="205"/>
      <c r="V5" s="139"/>
    </row>
    <row r="6" spans="1:47" ht="15" customHeight="1" thickBot="1" x14ac:dyDescent="0.3">
      <c r="B6" s="297"/>
      <c r="C6" s="1"/>
      <c r="D6" s="1"/>
      <c r="E6" s="298"/>
      <c r="F6" s="626"/>
      <c r="G6" s="626"/>
      <c r="H6" s="626"/>
      <c r="I6" s="626"/>
      <c r="J6" s="626"/>
      <c r="K6" s="626"/>
      <c r="L6" s="626"/>
      <c r="M6" s="626"/>
      <c r="N6" s="626"/>
      <c r="O6" s="626"/>
      <c r="P6" s="626"/>
      <c r="Q6" s="626"/>
      <c r="R6" s="201"/>
      <c r="S6" s="145" t="str">
        <f>Summary!W6</f>
        <v>Language</v>
      </c>
      <c r="T6" s="141" t="str">
        <f>Summary!X6</f>
        <v>English</v>
      </c>
      <c r="U6" s="141"/>
      <c r="V6" s="142"/>
    </row>
    <row r="7" spans="1:47" x14ac:dyDescent="0.25">
      <c r="B7" s="297"/>
      <c r="C7" s="1"/>
      <c r="D7" s="1"/>
      <c r="E7" s="298"/>
      <c r="F7" s="31" t="str">
        <f>Summary!G7</f>
        <v>Supplier</v>
      </c>
      <c r="G7" s="673" t="str">
        <f>IF(Summary!O7=0,"",Summary!O7)</f>
        <v/>
      </c>
      <c r="H7" s="674"/>
      <c r="I7" s="682"/>
      <c r="N7" s="220" t="str">
        <f>VLOOKUP("0.01",Languages!A:J,VLOOKUP(Summary!X6,Languages!$C$2:$D$10,2,FALSE),FALSE)</f>
        <v>Field</v>
      </c>
      <c r="P7" s="31" t="str">
        <f>Summary!T7</f>
        <v>Project</v>
      </c>
      <c r="Q7" s="490"/>
      <c r="R7" s="673" t="str">
        <f>IF(Summary!V7=0,"",Summary!V7)</f>
        <v/>
      </c>
      <c r="S7" s="674"/>
      <c r="T7" s="674"/>
      <c r="U7" s="674"/>
      <c r="V7" s="675"/>
    </row>
    <row r="8" spans="1:47" x14ac:dyDescent="0.25">
      <c r="B8" s="297"/>
      <c r="C8" s="1"/>
      <c r="D8" s="1"/>
      <c r="E8" s="298"/>
      <c r="F8" s="32" t="str">
        <f>Summary!G8</f>
        <v>Contact person</v>
      </c>
      <c r="G8" s="676" t="str">
        <f>IF(Summary!O8=0,"",Summary!O8)</f>
        <v/>
      </c>
      <c r="H8" s="677"/>
      <c r="I8" s="683"/>
      <c r="N8" s="299" t="str">
        <f>VLOOKUP("0.02",Languages!A:J,VLOOKUP(Summary!X6,Languages!$C$2:$D$10,2,FALSE),FALSE)</f>
        <v>Level 1</v>
      </c>
      <c r="P8" s="32" t="str">
        <f>Summary!T8</f>
        <v>Part number</v>
      </c>
      <c r="Q8" s="475"/>
      <c r="R8" s="676" t="str">
        <f>IF(Summary!V8=0,"",Summary!V8)</f>
        <v/>
      </c>
      <c r="S8" s="677"/>
      <c r="T8" s="677"/>
      <c r="U8" s="677"/>
      <c r="V8" s="678"/>
    </row>
    <row r="9" spans="1:47" x14ac:dyDescent="0.25">
      <c r="B9" s="612"/>
      <c r="C9" s="672"/>
      <c r="D9" s="613"/>
      <c r="E9" s="614"/>
      <c r="F9" s="32" t="str">
        <f>Summary!G9</f>
        <v>E-Mail</v>
      </c>
      <c r="G9" s="676" t="str">
        <f>IF(Summary!O9=0,"",Summary!O9)</f>
        <v/>
      </c>
      <c r="H9" s="677"/>
      <c r="I9" s="683"/>
      <c r="N9" s="303" t="str">
        <f>VLOOKUP("0.03",Languages!A:J,VLOOKUP(Summary!X6,Languages!$C$2:$D$10,2,FALSE),FALSE)</f>
        <v>Level 2</v>
      </c>
      <c r="P9" s="32" t="str">
        <f>Summary!T9</f>
        <v>Part name</v>
      </c>
      <c r="Q9" s="477"/>
      <c r="R9" s="676" t="str">
        <f>IF(Summary!V9=0,"",Summary!V9)</f>
        <v/>
      </c>
      <c r="S9" s="677"/>
      <c r="T9" s="677"/>
      <c r="U9" s="677"/>
      <c r="V9" s="678"/>
    </row>
    <row r="10" spans="1:47" ht="15.75" thickBot="1" x14ac:dyDescent="0.3">
      <c r="B10" s="615"/>
      <c r="C10" s="616"/>
      <c r="D10" s="616"/>
      <c r="E10" s="617"/>
      <c r="F10" s="33" t="str">
        <f>Summary!G10</f>
        <v>Telephone</v>
      </c>
      <c r="G10" s="684" t="str">
        <f>IF(Summary!O10=0,"",Summary!O10)</f>
        <v/>
      </c>
      <c r="H10" s="685"/>
      <c r="I10" s="686"/>
      <c r="J10" s="38"/>
      <c r="K10" s="38"/>
      <c r="L10" s="38"/>
      <c r="M10" s="38"/>
      <c r="N10" s="238" t="str">
        <f>VLOOKUP("0.04",Languages!A:J,VLOOKUP(Summary!X6,Languages!$C$2:$D$10,2,FALSE),FALSE)</f>
        <v>calculated</v>
      </c>
      <c r="O10" s="38"/>
      <c r="P10" s="33" t="str">
        <f>Summary!T10</f>
        <v>Quotation date</v>
      </c>
      <c r="Q10" s="38"/>
      <c r="R10" s="679" t="str">
        <f>IF(Summary!V10=0,"",Summary!V10)</f>
        <v/>
      </c>
      <c r="S10" s="680"/>
      <c r="T10" s="680"/>
      <c r="U10" s="680"/>
      <c r="V10" s="681"/>
    </row>
    <row r="11" spans="1:47" x14ac:dyDescent="0.25">
      <c r="B11" s="10"/>
      <c r="C11" s="10"/>
      <c r="D11" s="10"/>
      <c r="E11" s="10"/>
      <c r="F11" s="10"/>
      <c r="G11" s="10"/>
      <c r="H11" s="10"/>
      <c r="I11" s="10"/>
      <c r="J11" s="10"/>
      <c r="K11" s="10"/>
      <c r="L11" s="10"/>
      <c r="M11" s="10"/>
      <c r="N11" s="10"/>
      <c r="O11" s="10"/>
      <c r="P11" s="10"/>
      <c r="Q11" s="10"/>
      <c r="R11" s="10"/>
      <c r="S11" s="10"/>
      <c r="T11" s="10"/>
      <c r="U11" s="10"/>
      <c r="V11" s="10"/>
      <c r="W11" s="10"/>
      <c r="X11" s="10"/>
      <c r="Y11" s="10"/>
      <c r="Z11" s="10"/>
    </row>
    <row r="12" spans="1:47" ht="15.75" thickBot="1" x14ac:dyDescent="0.3">
      <c r="B12" s="653" t="str">
        <f>VLOOKUP("M01",Languages!A:J,VLOOKUP(Summary!X6,Languages!$C$2:$D$10,2,FALSE),FALSE)</f>
        <v>General inputs</v>
      </c>
      <c r="C12" s="654"/>
      <c r="D12" s="654"/>
      <c r="E12" s="654"/>
      <c r="F12" s="654"/>
      <c r="G12" s="654"/>
      <c r="H12" s="654"/>
      <c r="I12" s="654"/>
      <c r="J12" s="654"/>
      <c r="K12" s="654"/>
      <c r="L12" s="654"/>
      <c r="M12" s="659" t="str">
        <f>VLOOKUP("M02",Languages!A:J,VLOOKUP(Summary!X6,Languages!$C$2:$D$10,2,FALSE),FALSE)</f>
        <v>Cost inputs</v>
      </c>
      <c r="N12" s="659"/>
      <c r="O12" s="659"/>
      <c r="P12" s="659"/>
      <c r="Q12" s="659"/>
      <c r="R12" s="659"/>
      <c r="S12" s="659"/>
      <c r="T12" s="659"/>
      <c r="U12" s="659"/>
      <c r="V12" s="659"/>
      <c r="AC12" s="652" t="str">
        <f>VLOOKUP("M03",Languages!A:J,VLOOKUP(Summary!X6,Languages!$C$2:$D$10,2,FALSE),FALSE)</f>
        <v>Carbon footprint inputs</v>
      </c>
      <c r="AD12" s="652"/>
      <c r="AE12" s="652"/>
      <c r="AF12" s="652"/>
      <c r="AG12" s="652"/>
      <c r="AR12" s="24"/>
      <c r="AS12" s="24"/>
      <c r="AT12" s="24"/>
      <c r="AU12" s="24"/>
    </row>
    <row r="13" spans="1:47" x14ac:dyDescent="0.25">
      <c r="A13" s="146"/>
      <c r="B13" s="18" t="s">
        <v>10</v>
      </c>
      <c r="C13" s="249" t="s">
        <v>11</v>
      </c>
      <c r="D13" s="249" t="s">
        <v>12</v>
      </c>
      <c r="E13" s="249" t="s">
        <v>13</v>
      </c>
      <c r="F13" s="249" t="s">
        <v>14</v>
      </c>
      <c r="G13" s="249" t="s">
        <v>15</v>
      </c>
      <c r="H13" s="249" t="s">
        <v>16</v>
      </c>
      <c r="I13" s="249" t="s">
        <v>17</v>
      </c>
      <c r="J13" s="249" t="s">
        <v>18</v>
      </c>
      <c r="K13" s="249" t="s">
        <v>19</v>
      </c>
      <c r="L13" s="249" t="s">
        <v>20</v>
      </c>
      <c r="M13" s="501" t="s">
        <v>21</v>
      </c>
      <c r="N13" s="502" t="s">
        <v>22</v>
      </c>
      <c r="O13" s="502" t="s">
        <v>23</v>
      </c>
      <c r="P13" s="502" t="s">
        <v>24</v>
      </c>
      <c r="Q13" s="351" t="s">
        <v>25</v>
      </c>
      <c r="R13" s="650" t="s">
        <v>26</v>
      </c>
      <c r="S13" s="651"/>
      <c r="T13" s="650" t="s">
        <v>27</v>
      </c>
      <c r="U13" s="651"/>
      <c r="V13" s="352" t="s">
        <v>28</v>
      </c>
      <c r="AC13" s="450" t="s">
        <v>29</v>
      </c>
      <c r="AD13" s="500" t="s">
        <v>30</v>
      </c>
      <c r="AE13" s="655" t="s">
        <v>31</v>
      </c>
      <c r="AF13" s="656"/>
      <c r="AG13" s="451" t="s">
        <v>32</v>
      </c>
      <c r="AH13" s="467"/>
    </row>
    <row r="14" spans="1:47" ht="67.5" customHeight="1" x14ac:dyDescent="0.25">
      <c r="B14" s="222" t="str">
        <f>VLOOKUP(B13,Languages!A:J,VLOOKUP(Summary!X6,Languages!$C$2:$D$10,2,FALSE),FALSE)</f>
        <v>No.</v>
      </c>
      <c r="C14" s="229" t="str">
        <f>VLOOKUP(C13,Languages!A:J,VLOOKUP(Summary!X6,Languages!$C$2:$D$10,2,FALSE),FALSE)</f>
        <v>Manufacturing step no.</v>
      </c>
      <c r="D14" s="221" t="str">
        <f>VLOOKUP(D13,Languages!A:J,VLOOKUP(Summary!X6,Languages!$C$2:$D$10,2,FALSE),FALSE)</f>
        <v>Item number</v>
      </c>
      <c r="E14" s="229" t="str">
        <f>VLOOKUP(E13,Languages!A:J,VLOOKUP(Summary!X6,Languages!$C$2:$D$10,2,FALSE),FALSE)</f>
        <v>Part designation</v>
      </c>
      <c r="F14" s="229" t="str">
        <f>VLOOKUP(F13,Languages!A:J,VLOOKUP(Summary!X6,Languages!$C$2:$D$10,2,FALSE),FALSE)</f>
        <v>Designation raw material / purchased part</v>
      </c>
      <c r="G14" s="229" t="str">
        <f>VLOOKUP(G13,Languages!A:J,VLOOKUP(Summary!X6,Languages!$C$2:$D$10,2,FALSE),FALSE)</f>
        <v>Material class</v>
      </c>
      <c r="H14" s="229" t="str">
        <f>VLOOKUP(H13,Languages!A:J,VLOOKUP(Summary!X6,Languages!$C$2:$D$10,2,FALSE),FALSE)</f>
        <v>Supplier</v>
      </c>
      <c r="I14" s="221" t="str">
        <f>VLOOKUP(I13,Languages!A:J,VLOOKUP(Summary!X6,Languages!$C$2:$D$10,2,FALSE),FALSE)</f>
        <v>Unit</v>
      </c>
      <c r="J14" s="291" t="str">
        <f>VLOOKUP(J13,Languages!A:J,VLOOKUP(Summary!X6,Languages!$C$2:$D$10,2,FALSE),FALSE)</f>
        <v>Deployed weight/ quantity</v>
      </c>
      <c r="K14" s="291" t="str">
        <f>VLOOKUP(K13,Languages!A:J,VLOOKUP(Summary!X6,Languages!$C$2:$D$10,2,FALSE),FALSE)</f>
        <v>Net weight of finished part (only for info.)</v>
      </c>
      <c r="L14" s="243" t="str">
        <f>VLOOKUP(L13,Languages!A:J,VLOOKUP(Summary!X6,Languages!$C$2:$D$10,2,FALSE),FALSE)</f>
        <v>Usage</v>
      </c>
      <c r="M14" s="341" t="str">
        <f>VLOOKUP(M13,Languages!A:J,VLOOKUP(Summary!X6,Languages!$C$2:$D$10,2,FALSE),FALSE)</f>
        <v>Purchasing currency</v>
      </c>
      <c r="N14" s="243" t="str">
        <f>VLOOKUP(N13,Languages!A:J,VLOOKUP(Summary!X6,Languages!$C$2:$D$10,2,FALSE),FALSE)</f>
        <v>Price in purchasing currency per unit</v>
      </c>
      <c r="O14" s="229" t="str">
        <f>VLOOKUP(O13,Languages!A:J,VLOOKUP(Summary!X6,Languages!$C$2:$D$10,2,FALSE),FALSE)</f>
        <v>Rate of exchange (AW/BW)</v>
      </c>
      <c r="P14" s="340" t="str">
        <f>VLOOKUP(P13,Languages!A:J,VLOOKUP(Summary!X6,Languages!$C$2:$D$10,2,FALSE),FALSE)</f>
        <v>Price in quotation currency per unit</v>
      </c>
      <c r="Q14" s="229" t="str">
        <f>VLOOKUP(Q13,Languages!A:J,VLOOKUP(Summary!X6,Languages!$C$2:$D$10,2,FALSE),FALSE)</f>
        <v>Material costs</v>
      </c>
      <c r="R14" s="649" t="str">
        <f>VLOOKUP(R13,Languages!A:J,VLOOKUP(Summary!X6,Languages!$C$2:$D$10,2,FALSE),FALSE)</f>
        <v>Material overhead costs
(Base is M15)</v>
      </c>
      <c r="S14" s="649"/>
      <c r="T14" s="649" t="str">
        <f>VLOOKUP(T13,Languages!A:J,VLOOKUP(Summary!X6,Languages!$C$2:$D$10,2,FALSE),FALSE)</f>
        <v>Material scrap costs</v>
      </c>
      <c r="U14" s="649"/>
      <c r="V14" s="342" t="str">
        <f>VLOOKUP(V13,Languages!A:J,VLOOKUP(Summary!X6,Languages!$C$2:$D$10,2,FALSE),FALSE)</f>
        <v>Total material costs</v>
      </c>
      <c r="X14" s="15" t="s">
        <v>33</v>
      </c>
      <c r="Y14" s="15" t="s">
        <v>34</v>
      </c>
      <c r="Z14" s="15" t="s">
        <v>35</v>
      </c>
      <c r="AA14" s="15" t="s">
        <v>36</v>
      </c>
      <c r="AB14" s="15" t="s">
        <v>37</v>
      </c>
      <c r="AC14" s="420" t="str">
        <f>VLOOKUP(AC13,Languages!A:J,VLOOKUP(Summary!X6,Languages!$C$2:$D$10,2,FALSE),FALSE)</f>
        <v>Carbon footprint</v>
      </c>
      <c r="AD14" s="243" t="str">
        <f>VLOOKUP(AD13,Languages!A:J,VLOOKUP(Summary!X6,Languages!$C$2:$D$10,2,FALSE),FALSE)</f>
        <v>Direct material carbon footprint</v>
      </c>
      <c r="AE14" s="657" t="str">
        <f>VLOOKUP(AE13,Languages!A:J,VLOOKUP(Summary!X6,Languages!$C$2:$D$10,2,FALSE),FALSE)</f>
        <v>Material scrap carbon footprint</v>
      </c>
      <c r="AF14" s="658"/>
      <c r="AG14" s="421" t="str">
        <f>VLOOKUP(AG13,Languages!A:J,VLOOKUP(Summary!X6,Languages!$C$2:$D$10,2,FALSE),FALSE)</f>
        <v>Total material carbon footprint</v>
      </c>
      <c r="AH14" s="15" t="s">
        <v>33</v>
      </c>
      <c r="AI14" s="15" t="s">
        <v>38</v>
      </c>
      <c r="AJ14" s="15" t="s">
        <v>39</v>
      </c>
      <c r="AK14" s="15" t="s">
        <v>40</v>
      </c>
    </row>
    <row r="15" spans="1:47" ht="15" customHeight="1" x14ac:dyDescent="0.25">
      <c r="B15" s="227"/>
      <c r="C15" s="230"/>
      <c r="D15" s="11"/>
      <c r="E15" s="230"/>
      <c r="F15" s="230"/>
      <c r="G15" s="230"/>
      <c r="H15" s="230"/>
      <c r="I15" s="226"/>
      <c r="J15" s="233"/>
      <c r="K15" s="233"/>
      <c r="L15" s="11"/>
      <c r="M15" s="343"/>
      <c r="N15" s="226"/>
      <c r="O15" s="233"/>
      <c r="P15" s="353">
        <f>Summary!D18</f>
        <v>0</v>
      </c>
      <c r="Q15" s="233">
        <f>Summary!D18</f>
        <v>0</v>
      </c>
      <c r="R15" s="129"/>
      <c r="S15" s="235">
        <f>Summary!D18</f>
        <v>0</v>
      </c>
      <c r="T15" s="228">
        <f>Summary!D18</f>
        <v>0</v>
      </c>
      <c r="U15" s="236"/>
      <c r="V15" s="344">
        <f>Summary!D18</f>
        <v>0</v>
      </c>
      <c r="X15" s="16"/>
      <c r="Y15" s="16"/>
      <c r="Z15" s="16"/>
      <c r="AA15" s="16"/>
      <c r="AB15" s="16"/>
      <c r="AC15" s="452" t="s">
        <v>41</v>
      </c>
      <c r="AD15" s="228" t="s">
        <v>41</v>
      </c>
      <c r="AE15" s="228" t="s">
        <v>41</v>
      </c>
      <c r="AF15" s="236"/>
      <c r="AG15" s="453" t="s">
        <v>41</v>
      </c>
      <c r="AH15" s="16"/>
      <c r="AI15" s="16"/>
      <c r="AJ15" s="16"/>
    </row>
    <row r="16" spans="1:47" ht="15" customHeight="1" x14ac:dyDescent="0.25">
      <c r="B16" s="227"/>
      <c r="C16" s="231"/>
      <c r="D16" s="11"/>
      <c r="E16" s="231"/>
      <c r="F16" s="231"/>
      <c r="G16" s="231"/>
      <c r="H16" s="231"/>
      <c r="I16" s="226"/>
      <c r="J16" s="234"/>
      <c r="K16" s="234"/>
      <c r="L16" s="285"/>
      <c r="M16" s="343"/>
      <c r="N16" s="226"/>
      <c r="O16" s="233"/>
      <c r="P16" s="354"/>
      <c r="Q16" s="234" t="str">
        <f>VLOOKUP(13.3,Languages!A:J,VLOOKUP(Summary!X6,Languages!$C$2:$D$10,2,FALSE),FALSE)</f>
        <v>/unit</v>
      </c>
      <c r="R16" s="223" t="s">
        <v>6</v>
      </c>
      <c r="S16" s="224" t="str">
        <f>VLOOKUP(13.3,Languages!A:J,VLOOKUP(Summary!X6,Languages!$C$2:$D$10,2,FALSE),FALSE)</f>
        <v>/unit</v>
      </c>
      <c r="T16" s="225" t="str">
        <f>VLOOKUP(13.3,Languages!A:J,VLOOKUP(Summary!X6,Languages!$C$2:$D$10,2,FALSE),FALSE)</f>
        <v>/unit</v>
      </c>
      <c r="U16" s="237" t="s">
        <v>6</v>
      </c>
      <c r="V16" s="345" t="str">
        <f>VLOOKUP(13.3,Languages!A:J,VLOOKUP(Summary!X6,Languages!$C$2:$D$10,2,FALSE),FALSE)</f>
        <v>/unit</v>
      </c>
      <c r="X16" s="16"/>
      <c r="Y16" s="16"/>
      <c r="Z16" s="16"/>
      <c r="AA16" s="16"/>
      <c r="AB16" s="16"/>
      <c r="AC16" s="454" t="str">
        <f>VLOOKUP(13.3,Languages!A:J,VLOOKUP(Summary!X6,Languages!$C$2:$D$10,2,FALSE),FALSE)</f>
        <v>/unit</v>
      </c>
      <c r="AD16" s="225" t="str">
        <f>VLOOKUP(13.3,Languages!A:J,VLOOKUP(Summary!X6,Languages!$C$2:$D$10,2,FALSE),FALSE)</f>
        <v>/unit</v>
      </c>
      <c r="AE16" s="225" t="str">
        <f>VLOOKUP(13.3,Languages!A:J,VLOOKUP(Summary!X6,Languages!$C$2:$D$10,2,FALSE),FALSE)</f>
        <v>/unit</v>
      </c>
      <c r="AF16" s="237" t="s">
        <v>6</v>
      </c>
      <c r="AG16" s="455" t="str">
        <f>VLOOKUP(13.3,Languages!A:J,VLOOKUP(Summary!X6,Languages!$C$2:$D$10,2,FALSE),FALSE)</f>
        <v>/unit</v>
      </c>
      <c r="AH16" s="16"/>
      <c r="AI16" s="16"/>
      <c r="AJ16" s="16"/>
    </row>
    <row r="17" spans="2:37" x14ac:dyDescent="0.25">
      <c r="B17" s="324"/>
      <c r="C17" s="493"/>
      <c r="D17" s="325"/>
      <c r="E17" s="312"/>
      <c r="F17" s="312"/>
      <c r="G17" s="313"/>
      <c r="H17" s="328"/>
      <c r="I17" s="312"/>
      <c r="J17" s="543"/>
      <c r="K17" s="544"/>
      <c r="L17" s="312"/>
      <c r="M17" s="346"/>
      <c r="N17" s="551"/>
      <c r="O17" s="355"/>
      <c r="P17" s="549">
        <f t="shared" ref="P17:P32" si="0">IF(N17=0,0,N17*O17)</f>
        <v>0</v>
      </c>
      <c r="Q17" s="547">
        <f t="shared" ref="Q17:Q32" si="1">P17*J17</f>
        <v>0</v>
      </c>
      <c r="R17" s="332"/>
      <c r="S17" s="547">
        <f>Q17*R17</f>
        <v>0</v>
      </c>
      <c r="T17" s="545"/>
      <c r="U17" s="287" t="str">
        <f>IF(T17=0,"-",T17/(Q17+T17))</f>
        <v>-</v>
      </c>
      <c r="V17" s="571">
        <f>SUM(Q17,S17,T17)*L17</f>
        <v>0</v>
      </c>
      <c r="W17" s="572" t="str">
        <f t="shared" ref="W17:W32" si="2">$K$14&amp;": "&amp;K17</f>
        <v xml:space="preserve">Net weight of finished part (only for info.): </v>
      </c>
      <c r="X17" s="573">
        <f>Q17*L17</f>
        <v>0</v>
      </c>
      <c r="Y17" s="573">
        <f>SUMIF(G17,RawMaterial,Q17)*L17</f>
        <v>0</v>
      </c>
      <c r="Z17" s="573">
        <f>X17-Y17</f>
        <v>0</v>
      </c>
      <c r="AA17" s="573">
        <f t="shared" ref="AA17:AA32" si="3">S17*L17</f>
        <v>0</v>
      </c>
      <c r="AB17" s="573">
        <f t="shared" ref="AB17:AB32" si="4">T17*L17</f>
        <v>0</v>
      </c>
      <c r="AC17" s="456"/>
      <c r="AD17" s="286">
        <f>AC17*J17</f>
        <v>0</v>
      </c>
      <c r="AE17" s="330"/>
      <c r="AF17" s="287" t="str">
        <f t="shared" ref="AF17:AF18" si="5">IF(AE17=0,"-",AE17/(AD17+AE17))</f>
        <v>-</v>
      </c>
      <c r="AG17" s="427">
        <f t="shared" ref="AG17:AG18" si="6">SUM(AD17,AE17)*L17</f>
        <v>0</v>
      </c>
      <c r="AH17" s="16">
        <f t="shared" ref="AH17:AH32" si="7">AD17*L17</f>
        <v>0</v>
      </c>
      <c r="AI17" s="16">
        <f t="shared" ref="AI17:AI32" si="8">SUMIF(G17,RawMaterial,AD17)*L17</f>
        <v>0</v>
      </c>
      <c r="AJ17" s="16">
        <f>AH17-AI17</f>
        <v>0</v>
      </c>
      <c r="AK17" s="16">
        <f t="shared" ref="AK17:AK32" si="9">AE17*L17</f>
        <v>0</v>
      </c>
    </row>
    <row r="18" spans="2:37" x14ac:dyDescent="0.25">
      <c r="B18" s="324"/>
      <c r="C18" s="493"/>
      <c r="D18" s="325"/>
      <c r="E18" s="312"/>
      <c r="F18" s="312"/>
      <c r="G18" s="313"/>
      <c r="H18" s="328"/>
      <c r="I18" s="312"/>
      <c r="J18" s="543"/>
      <c r="K18" s="544"/>
      <c r="L18" s="312"/>
      <c r="M18" s="346"/>
      <c r="N18" s="551"/>
      <c r="O18" s="355"/>
      <c r="P18" s="549">
        <f t="shared" si="0"/>
        <v>0</v>
      </c>
      <c r="Q18" s="547">
        <f t="shared" si="1"/>
        <v>0</v>
      </c>
      <c r="R18" s="332"/>
      <c r="S18" s="547">
        <f t="shared" ref="S18:S32" si="10">Q18*R18</f>
        <v>0</v>
      </c>
      <c r="T18" s="545"/>
      <c r="U18" s="287" t="str">
        <f t="shared" ref="U18:U32" si="11">IF(T18=0,"-",T18/(Q18+T18))</f>
        <v>-</v>
      </c>
      <c r="V18" s="571">
        <f t="shared" ref="V18:V32" si="12">SUM(Q18,S18,T18)*L18</f>
        <v>0</v>
      </c>
      <c r="W18" s="572" t="str">
        <f t="shared" si="2"/>
        <v xml:space="preserve">Net weight of finished part (only for info.): </v>
      </c>
      <c r="X18" s="573">
        <f t="shared" ref="X18:X32" si="13">Q18*L18</f>
        <v>0</v>
      </c>
      <c r="Y18" s="573">
        <f t="shared" ref="Y18:Y32" si="14">SUMIF(G18,RawMaterial,Q18)*L18</f>
        <v>0</v>
      </c>
      <c r="Z18" s="573">
        <f t="shared" ref="Z18:Z32" si="15">X18-Y18</f>
        <v>0</v>
      </c>
      <c r="AA18" s="573">
        <f t="shared" si="3"/>
        <v>0</v>
      </c>
      <c r="AB18" s="573">
        <f t="shared" si="4"/>
        <v>0</v>
      </c>
      <c r="AC18" s="456"/>
      <c r="AD18" s="286">
        <f t="shared" ref="AD18:AD32" si="16">AC18*J18</f>
        <v>0</v>
      </c>
      <c r="AE18" s="330"/>
      <c r="AF18" s="287" t="str">
        <f t="shared" si="5"/>
        <v>-</v>
      </c>
      <c r="AG18" s="427">
        <f t="shared" si="6"/>
        <v>0</v>
      </c>
      <c r="AH18" s="16">
        <f t="shared" si="7"/>
        <v>0</v>
      </c>
      <c r="AI18" s="16">
        <f t="shared" si="8"/>
        <v>0</v>
      </c>
      <c r="AJ18" s="16">
        <f t="shared" ref="AJ18:AJ32" si="17">AH18-AI18</f>
        <v>0</v>
      </c>
      <c r="AK18" s="16">
        <f t="shared" si="9"/>
        <v>0</v>
      </c>
    </row>
    <row r="19" spans="2:37" x14ac:dyDescent="0.25">
      <c r="B19" s="324"/>
      <c r="C19" s="493"/>
      <c r="D19" s="325"/>
      <c r="E19" s="312"/>
      <c r="F19" s="312"/>
      <c r="G19" s="313"/>
      <c r="H19" s="328"/>
      <c r="I19" s="312"/>
      <c r="J19" s="543"/>
      <c r="K19" s="544"/>
      <c r="L19" s="312"/>
      <c r="M19" s="346"/>
      <c r="N19" s="551"/>
      <c r="O19" s="355"/>
      <c r="P19" s="549">
        <f>IF(N19=0,0,N19*O19)</f>
        <v>0</v>
      </c>
      <c r="Q19" s="547">
        <f>P19*J19</f>
        <v>0</v>
      </c>
      <c r="R19" s="332"/>
      <c r="S19" s="547">
        <f t="shared" si="10"/>
        <v>0</v>
      </c>
      <c r="T19" s="545"/>
      <c r="U19" s="287" t="str">
        <f t="shared" si="11"/>
        <v>-</v>
      </c>
      <c r="V19" s="571">
        <f t="shared" si="12"/>
        <v>0</v>
      </c>
      <c r="W19" s="572" t="str">
        <f t="shared" si="2"/>
        <v xml:space="preserve">Net weight of finished part (only for info.): </v>
      </c>
      <c r="X19" s="573">
        <f t="shared" si="13"/>
        <v>0</v>
      </c>
      <c r="Y19" s="573">
        <f t="shared" si="14"/>
        <v>0</v>
      </c>
      <c r="Z19" s="573">
        <f t="shared" si="15"/>
        <v>0</v>
      </c>
      <c r="AA19" s="573">
        <f t="shared" si="3"/>
        <v>0</v>
      </c>
      <c r="AB19" s="573">
        <f t="shared" si="4"/>
        <v>0</v>
      </c>
      <c r="AC19" s="456"/>
      <c r="AD19" s="286">
        <f t="shared" si="16"/>
        <v>0</v>
      </c>
      <c r="AE19" s="330"/>
      <c r="AF19" s="287" t="str">
        <f t="shared" ref="AF19:AF32" si="18">IF(AE19=0,"-",AE19/(AD19+AE19))</f>
        <v>-</v>
      </c>
      <c r="AG19" s="427">
        <f t="shared" ref="AG19:AG32" si="19">SUM(AD19,AE19)*L19</f>
        <v>0</v>
      </c>
      <c r="AH19" s="16">
        <f t="shared" si="7"/>
        <v>0</v>
      </c>
      <c r="AI19" s="16">
        <f t="shared" si="8"/>
        <v>0</v>
      </c>
      <c r="AJ19" s="16">
        <f t="shared" si="17"/>
        <v>0</v>
      </c>
      <c r="AK19" s="16">
        <f t="shared" si="9"/>
        <v>0</v>
      </c>
    </row>
    <row r="20" spans="2:37" x14ac:dyDescent="0.25">
      <c r="B20" s="324"/>
      <c r="C20" s="493"/>
      <c r="D20" s="325"/>
      <c r="E20" s="312"/>
      <c r="F20" s="312"/>
      <c r="G20" s="313"/>
      <c r="H20" s="328"/>
      <c r="I20" s="312"/>
      <c r="J20" s="543"/>
      <c r="K20" s="544"/>
      <c r="L20" s="312"/>
      <c r="M20" s="346"/>
      <c r="N20" s="551"/>
      <c r="O20" s="355"/>
      <c r="P20" s="549">
        <f t="shared" si="0"/>
        <v>0</v>
      </c>
      <c r="Q20" s="547">
        <f>P20*J20</f>
        <v>0</v>
      </c>
      <c r="R20" s="332"/>
      <c r="S20" s="547">
        <f t="shared" si="10"/>
        <v>0</v>
      </c>
      <c r="T20" s="545"/>
      <c r="U20" s="287" t="str">
        <f t="shared" si="11"/>
        <v>-</v>
      </c>
      <c r="V20" s="571">
        <f t="shared" si="12"/>
        <v>0</v>
      </c>
      <c r="W20" s="572" t="str">
        <f t="shared" si="2"/>
        <v xml:space="preserve">Net weight of finished part (only for info.): </v>
      </c>
      <c r="X20" s="573">
        <f t="shared" si="13"/>
        <v>0</v>
      </c>
      <c r="Y20" s="573">
        <f t="shared" si="14"/>
        <v>0</v>
      </c>
      <c r="Z20" s="573">
        <f t="shared" si="15"/>
        <v>0</v>
      </c>
      <c r="AA20" s="573">
        <f t="shared" si="3"/>
        <v>0</v>
      </c>
      <c r="AB20" s="573">
        <f t="shared" si="4"/>
        <v>0</v>
      </c>
      <c r="AC20" s="456"/>
      <c r="AD20" s="286">
        <f t="shared" si="16"/>
        <v>0</v>
      </c>
      <c r="AE20" s="330"/>
      <c r="AF20" s="287" t="str">
        <f t="shared" si="18"/>
        <v>-</v>
      </c>
      <c r="AG20" s="427">
        <f t="shared" si="19"/>
        <v>0</v>
      </c>
      <c r="AH20" s="16">
        <f t="shared" si="7"/>
        <v>0</v>
      </c>
      <c r="AI20" s="16">
        <f t="shared" si="8"/>
        <v>0</v>
      </c>
      <c r="AJ20" s="16">
        <f t="shared" si="17"/>
        <v>0</v>
      </c>
      <c r="AK20" s="16">
        <f t="shared" si="9"/>
        <v>0</v>
      </c>
    </row>
    <row r="21" spans="2:37" x14ac:dyDescent="0.25">
      <c r="B21" s="324"/>
      <c r="C21" s="493"/>
      <c r="D21" s="325"/>
      <c r="E21" s="312"/>
      <c r="F21" s="312"/>
      <c r="G21" s="313"/>
      <c r="H21" s="328"/>
      <c r="I21" s="312"/>
      <c r="J21" s="543"/>
      <c r="K21" s="544"/>
      <c r="L21" s="312"/>
      <c r="M21" s="346"/>
      <c r="N21" s="551"/>
      <c r="O21" s="355"/>
      <c r="P21" s="549">
        <f t="shared" si="0"/>
        <v>0</v>
      </c>
      <c r="Q21" s="547">
        <f t="shared" si="1"/>
        <v>0</v>
      </c>
      <c r="R21" s="332"/>
      <c r="S21" s="547">
        <f t="shared" si="10"/>
        <v>0</v>
      </c>
      <c r="T21" s="545"/>
      <c r="U21" s="287" t="str">
        <f t="shared" si="11"/>
        <v>-</v>
      </c>
      <c r="V21" s="571">
        <f t="shared" si="12"/>
        <v>0</v>
      </c>
      <c r="W21" s="572" t="str">
        <f t="shared" si="2"/>
        <v xml:space="preserve">Net weight of finished part (only for info.): </v>
      </c>
      <c r="X21" s="573">
        <f t="shared" si="13"/>
        <v>0</v>
      </c>
      <c r="Y21" s="573">
        <f t="shared" si="14"/>
        <v>0</v>
      </c>
      <c r="Z21" s="573">
        <f t="shared" si="15"/>
        <v>0</v>
      </c>
      <c r="AA21" s="573">
        <f t="shared" si="3"/>
        <v>0</v>
      </c>
      <c r="AB21" s="573">
        <f t="shared" si="4"/>
        <v>0</v>
      </c>
      <c r="AC21" s="456"/>
      <c r="AD21" s="286">
        <f t="shared" si="16"/>
        <v>0</v>
      </c>
      <c r="AE21" s="330"/>
      <c r="AF21" s="287" t="str">
        <f t="shared" si="18"/>
        <v>-</v>
      </c>
      <c r="AG21" s="427">
        <f t="shared" si="19"/>
        <v>0</v>
      </c>
      <c r="AH21" s="16">
        <f t="shared" si="7"/>
        <v>0</v>
      </c>
      <c r="AI21" s="16">
        <f t="shared" si="8"/>
        <v>0</v>
      </c>
      <c r="AJ21" s="16">
        <f t="shared" si="17"/>
        <v>0</v>
      </c>
      <c r="AK21" s="16">
        <f t="shared" si="9"/>
        <v>0</v>
      </c>
    </row>
    <row r="22" spans="2:37" x14ac:dyDescent="0.25">
      <c r="B22" s="324"/>
      <c r="C22" s="493"/>
      <c r="D22" s="325"/>
      <c r="E22" s="312"/>
      <c r="F22" s="312"/>
      <c r="G22" s="313"/>
      <c r="H22" s="328"/>
      <c r="I22" s="312"/>
      <c r="J22" s="543"/>
      <c r="K22" s="544"/>
      <c r="L22" s="312"/>
      <c r="M22" s="346"/>
      <c r="N22" s="551"/>
      <c r="O22" s="355"/>
      <c r="P22" s="549">
        <f t="shared" si="0"/>
        <v>0</v>
      </c>
      <c r="Q22" s="547">
        <f t="shared" si="1"/>
        <v>0</v>
      </c>
      <c r="R22" s="332"/>
      <c r="S22" s="547">
        <f t="shared" si="10"/>
        <v>0</v>
      </c>
      <c r="T22" s="545"/>
      <c r="U22" s="287" t="str">
        <f t="shared" si="11"/>
        <v>-</v>
      </c>
      <c r="V22" s="571">
        <f t="shared" si="12"/>
        <v>0</v>
      </c>
      <c r="W22" s="572" t="str">
        <f t="shared" si="2"/>
        <v xml:space="preserve">Net weight of finished part (only for info.): </v>
      </c>
      <c r="X22" s="573">
        <f t="shared" si="13"/>
        <v>0</v>
      </c>
      <c r="Y22" s="573">
        <f t="shared" si="14"/>
        <v>0</v>
      </c>
      <c r="Z22" s="573">
        <f t="shared" si="15"/>
        <v>0</v>
      </c>
      <c r="AA22" s="573">
        <f t="shared" si="3"/>
        <v>0</v>
      </c>
      <c r="AB22" s="573">
        <f t="shared" si="4"/>
        <v>0</v>
      </c>
      <c r="AC22" s="456"/>
      <c r="AD22" s="286">
        <f t="shared" si="16"/>
        <v>0</v>
      </c>
      <c r="AE22" s="330"/>
      <c r="AF22" s="287" t="str">
        <f t="shared" si="18"/>
        <v>-</v>
      </c>
      <c r="AG22" s="427">
        <f t="shared" si="19"/>
        <v>0</v>
      </c>
      <c r="AH22" s="16">
        <f t="shared" si="7"/>
        <v>0</v>
      </c>
      <c r="AI22" s="16">
        <f t="shared" si="8"/>
        <v>0</v>
      </c>
      <c r="AJ22" s="16">
        <f t="shared" si="17"/>
        <v>0</v>
      </c>
      <c r="AK22" s="16">
        <f t="shared" si="9"/>
        <v>0</v>
      </c>
    </row>
    <row r="23" spans="2:37" x14ac:dyDescent="0.25">
      <c r="B23" s="324"/>
      <c r="C23" s="493"/>
      <c r="D23" s="325"/>
      <c r="E23" s="312"/>
      <c r="F23" s="312"/>
      <c r="G23" s="313"/>
      <c r="H23" s="328"/>
      <c r="I23" s="312"/>
      <c r="J23" s="543"/>
      <c r="K23" s="544"/>
      <c r="L23" s="312"/>
      <c r="M23" s="346"/>
      <c r="N23" s="551"/>
      <c r="O23" s="355"/>
      <c r="P23" s="549">
        <f t="shared" si="0"/>
        <v>0</v>
      </c>
      <c r="Q23" s="547">
        <f t="shared" si="1"/>
        <v>0</v>
      </c>
      <c r="R23" s="332"/>
      <c r="S23" s="547">
        <f t="shared" si="10"/>
        <v>0</v>
      </c>
      <c r="T23" s="545"/>
      <c r="U23" s="287" t="str">
        <f t="shared" si="11"/>
        <v>-</v>
      </c>
      <c r="V23" s="571">
        <f t="shared" si="12"/>
        <v>0</v>
      </c>
      <c r="W23" s="572" t="str">
        <f t="shared" si="2"/>
        <v xml:space="preserve">Net weight of finished part (only for info.): </v>
      </c>
      <c r="X23" s="573">
        <f t="shared" si="13"/>
        <v>0</v>
      </c>
      <c r="Y23" s="573">
        <f t="shared" si="14"/>
        <v>0</v>
      </c>
      <c r="Z23" s="573">
        <f t="shared" si="15"/>
        <v>0</v>
      </c>
      <c r="AA23" s="573">
        <f t="shared" si="3"/>
        <v>0</v>
      </c>
      <c r="AB23" s="573">
        <f t="shared" si="4"/>
        <v>0</v>
      </c>
      <c r="AC23" s="456"/>
      <c r="AD23" s="286">
        <f t="shared" si="16"/>
        <v>0</v>
      </c>
      <c r="AE23" s="330"/>
      <c r="AF23" s="287" t="str">
        <f t="shared" si="18"/>
        <v>-</v>
      </c>
      <c r="AG23" s="427">
        <f t="shared" si="19"/>
        <v>0</v>
      </c>
      <c r="AH23" s="16">
        <f t="shared" si="7"/>
        <v>0</v>
      </c>
      <c r="AI23" s="16">
        <f t="shared" si="8"/>
        <v>0</v>
      </c>
      <c r="AJ23" s="16">
        <f t="shared" si="17"/>
        <v>0</v>
      </c>
      <c r="AK23" s="16">
        <f t="shared" si="9"/>
        <v>0</v>
      </c>
    </row>
    <row r="24" spans="2:37" x14ac:dyDescent="0.25">
      <c r="B24" s="324"/>
      <c r="C24" s="493"/>
      <c r="D24" s="325"/>
      <c r="E24" s="312"/>
      <c r="F24" s="312"/>
      <c r="G24" s="313"/>
      <c r="H24" s="328"/>
      <c r="I24" s="312"/>
      <c r="J24" s="543"/>
      <c r="K24" s="544"/>
      <c r="L24" s="312"/>
      <c r="M24" s="346"/>
      <c r="N24" s="551"/>
      <c r="O24" s="355"/>
      <c r="P24" s="549">
        <f t="shared" si="0"/>
        <v>0</v>
      </c>
      <c r="Q24" s="547">
        <f t="shared" si="1"/>
        <v>0</v>
      </c>
      <c r="R24" s="332"/>
      <c r="S24" s="547">
        <f t="shared" si="10"/>
        <v>0</v>
      </c>
      <c r="T24" s="545"/>
      <c r="U24" s="287" t="str">
        <f t="shared" si="11"/>
        <v>-</v>
      </c>
      <c r="V24" s="571">
        <f t="shared" si="12"/>
        <v>0</v>
      </c>
      <c r="W24" s="572" t="str">
        <f t="shared" si="2"/>
        <v xml:space="preserve">Net weight of finished part (only for info.): </v>
      </c>
      <c r="X24" s="573">
        <f t="shared" si="13"/>
        <v>0</v>
      </c>
      <c r="Y24" s="573">
        <f t="shared" si="14"/>
        <v>0</v>
      </c>
      <c r="Z24" s="573">
        <f t="shared" si="15"/>
        <v>0</v>
      </c>
      <c r="AA24" s="573">
        <f t="shared" si="3"/>
        <v>0</v>
      </c>
      <c r="AB24" s="573">
        <f t="shared" si="4"/>
        <v>0</v>
      </c>
      <c r="AC24" s="456"/>
      <c r="AD24" s="286">
        <f t="shared" si="16"/>
        <v>0</v>
      </c>
      <c r="AE24" s="330"/>
      <c r="AF24" s="287" t="str">
        <f t="shared" si="18"/>
        <v>-</v>
      </c>
      <c r="AG24" s="427">
        <f t="shared" si="19"/>
        <v>0</v>
      </c>
      <c r="AH24" s="16">
        <f t="shared" si="7"/>
        <v>0</v>
      </c>
      <c r="AI24" s="16">
        <f t="shared" si="8"/>
        <v>0</v>
      </c>
      <c r="AJ24" s="16">
        <f t="shared" si="17"/>
        <v>0</v>
      </c>
      <c r="AK24" s="16">
        <f t="shared" si="9"/>
        <v>0</v>
      </c>
    </row>
    <row r="25" spans="2:37" x14ac:dyDescent="0.25">
      <c r="B25" s="324"/>
      <c r="C25" s="493"/>
      <c r="D25" s="325"/>
      <c r="E25" s="312"/>
      <c r="F25" s="312"/>
      <c r="G25" s="313"/>
      <c r="H25" s="328"/>
      <c r="I25" s="312"/>
      <c r="J25" s="543"/>
      <c r="K25" s="544"/>
      <c r="L25" s="312"/>
      <c r="M25" s="346"/>
      <c r="N25" s="551"/>
      <c r="O25" s="355"/>
      <c r="P25" s="549">
        <f t="shared" si="0"/>
        <v>0</v>
      </c>
      <c r="Q25" s="547">
        <f t="shared" si="1"/>
        <v>0</v>
      </c>
      <c r="R25" s="332"/>
      <c r="S25" s="547">
        <f t="shared" si="10"/>
        <v>0</v>
      </c>
      <c r="T25" s="545"/>
      <c r="U25" s="287" t="str">
        <f t="shared" si="11"/>
        <v>-</v>
      </c>
      <c r="V25" s="571">
        <f t="shared" si="12"/>
        <v>0</v>
      </c>
      <c r="W25" s="572" t="str">
        <f t="shared" si="2"/>
        <v xml:space="preserve">Net weight of finished part (only for info.): </v>
      </c>
      <c r="X25" s="573">
        <f t="shared" si="13"/>
        <v>0</v>
      </c>
      <c r="Y25" s="573">
        <f t="shared" si="14"/>
        <v>0</v>
      </c>
      <c r="Z25" s="573">
        <f t="shared" si="15"/>
        <v>0</v>
      </c>
      <c r="AA25" s="573">
        <f t="shared" si="3"/>
        <v>0</v>
      </c>
      <c r="AB25" s="573">
        <f t="shared" si="4"/>
        <v>0</v>
      </c>
      <c r="AC25" s="456"/>
      <c r="AD25" s="286">
        <f t="shared" si="16"/>
        <v>0</v>
      </c>
      <c r="AE25" s="330"/>
      <c r="AF25" s="287" t="str">
        <f t="shared" si="18"/>
        <v>-</v>
      </c>
      <c r="AG25" s="427">
        <f t="shared" si="19"/>
        <v>0</v>
      </c>
      <c r="AH25" s="16">
        <f t="shared" si="7"/>
        <v>0</v>
      </c>
      <c r="AI25" s="16">
        <f t="shared" si="8"/>
        <v>0</v>
      </c>
      <c r="AJ25" s="16">
        <f t="shared" si="17"/>
        <v>0</v>
      </c>
      <c r="AK25" s="16">
        <f t="shared" si="9"/>
        <v>0</v>
      </c>
    </row>
    <row r="26" spans="2:37" x14ac:dyDescent="0.25">
      <c r="B26" s="324"/>
      <c r="C26" s="493"/>
      <c r="D26" s="325"/>
      <c r="E26" s="312"/>
      <c r="F26" s="312"/>
      <c r="G26" s="313"/>
      <c r="H26" s="328"/>
      <c r="I26" s="312"/>
      <c r="J26" s="543"/>
      <c r="K26" s="544"/>
      <c r="L26" s="312"/>
      <c r="M26" s="346"/>
      <c r="N26" s="551"/>
      <c r="O26" s="355"/>
      <c r="P26" s="549">
        <f t="shared" si="0"/>
        <v>0</v>
      </c>
      <c r="Q26" s="547">
        <f t="shared" si="1"/>
        <v>0</v>
      </c>
      <c r="R26" s="332"/>
      <c r="S26" s="547">
        <f t="shared" si="10"/>
        <v>0</v>
      </c>
      <c r="T26" s="545"/>
      <c r="U26" s="287" t="str">
        <f t="shared" si="11"/>
        <v>-</v>
      </c>
      <c r="V26" s="571">
        <f t="shared" si="12"/>
        <v>0</v>
      </c>
      <c r="W26" s="572" t="str">
        <f t="shared" si="2"/>
        <v xml:space="preserve">Net weight of finished part (only for info.): </v>
      </c>
      <c r="X26" s="573">
        <f t="shared" si="13"/>
        <v>0</v>
      </c>
      <c r="Y26" s="573">
        <f t="shared" si="14"/>
        <v>0</v>
      </c>
      <c r="Z26" s="573">
        <f t="shared" si="15"/>
        <v>0</v>
      </c>
      <c r="AA26" s="573">
        <f t="shared" si="3"/>
        <v>0</v>
      </c>
      <c r="AB26" s="573">
        <f t="shared" si="4"/>
        <v>0</v>
      </c>
      <c r="AC26" s="456"/>
      <c r="AD26" s="286">
        <f t="shared" si="16"/>
        <v>0</v>
      </c>
      <c r="AE26" s="330"/>
      <c r="AF26" s="287" t="str">
        <f t="shared" si="18"/>
        <v>-</v>
      </c>
      <c r="AG26" s="427">
        <f t="shared" si="19"/>
        <v>0</v>
      </c>
      <c r="AH26" s="16">
        <f t="shared" si="7"/>
        <v>0</v>
      </c>
      <c r="AI26" s="16">
        <f t="shared" si="8"/>
        <v>0</v>
      </c>
      <c r="AJ26" s="16">
        <f t="shared" si="17"/>
        <v>0</v>
      </c>
      <c r="AK26" s="16">
        <f t="shared" si="9"/>
        <v>0</v>
      </c>
    </row>
    <row r="27" spans="2:37" x14ac:dyDescent="0.25">
      <c r="B27" s="324"/>
      <c r="C27" s="493"/>
      <c r="D27" s="325"/>
      <c r="E27" s="312"/>
      <c r="F27" s="312"/>
      <c r="G27" s="313"/>
      <c r="H27" s="328"/>
      <c r="I27" s="312"/>
      <c r="J27" s="543"/>
      <c r="K27" s="544"/>
      <c r="L27" s="312"/>
      <c r="M27" s="346"/>
      <c r="N27" s="551"/>
      <c r="O27" s="355"/>
      <c r="P27" s="549">
        <f t="shared" si="0"/>
        <v>0</v>
      </c>
      <c r="Q27" s="547">
        <f t="shared" si="1"/>
        <v>0</v>
      </c>
      <c r="R27" s="332"/>
      <c r="S27" s="547">
        <f t="shared" si="10"/>
        <v>0</v>
      </c>
      <c r="T27" s="545"/>
      <c r="U27" s="287" t="str">
        <f t="shared" si="11"/>
        <v>-</v>
      </c>
      <c r="V27" s="571">
        <f t="shared" si="12"/>
        <v>0</v>
      </c>
      <c r="W27" s="572" t="str">
        <f t="shared" si="2"/>
        <v xml:space="preserve">Net weight of finished part (only for info.): </v>
      </c>
      <c r="X27" s="573">
        <f t="shared" si="13"/>
        <v>0</v>
      </c>
      <c r="Y27" s="573">
        <f t="shared" si="14"/>
        <v>0</v>
      </c>
      <c r="Z27" s="573">
        <f t="shared" si="15"/>
        <v>0</v>
      </c>
      <c r="AA27" s="573">
        <f t="shared" si="3"/>
        <v>0</v>
      </c>
      <c r="AB27" s="573">
        <f t="shared" si="4"/>
        <v>0</v>
      </c>
      <c r="AC27" s="456"/>
      <c r="AD27" s="286">
        <f t="shared" si="16"/>
        <v>0</v>
      </c>
      <c r="AE27" s="330"/>
      <c r="AF27" s="287" t="str">
        <f t="shared" si="18"/>
        <v>-</v>
      </c>
      <c r="AG27" s="427">
        <f t="shared" si="19"/>
        <v>0</v>
      </c>
      <c r="AH27" s="16">
        <f t="shared" si="7"/>
        <v>0</v>
      </c>
      <c r="AI27" s="16">
        <f t="shared" si="8"/>
        <v>0</v>
      </c>
      <c r="AJ27" s="16">
        <f t="shared" si="17"/>
        <v>0</v>
      </c>
      <c r="AK27" s="16">
        <f t="shared" si="9"/>
        <v>0</v>
      </c>
    </row>
    <row r="28" spans="2:37" x14ac:dyDescent="0.25">
      <c r="B28" s="324"/>
      <c r="C28" s="493"/>
      <c r="D28" s="325"/>
      <c r="E28" s="312"/>
      <c r="F28" s="312"/>
      <c r="G28" s="313"/>
      <c r="H28" s="328"/>
      <c r="I28" s="312"/>
      <c r="J28" s="543"/>
      <c r="K28" s="544"/>
      <c r="L28" s="312"/>
      <c r="M28" s="346"/>
      <c r="N28" s="551"/>
      <c r="O28" s="355"/>
      <c r="P28" s="549">
        <f t="shared" si="0"/>
        <v>0</v>
      </c>
      <c r="Q28" s="547">
        <f t="shared" si="1"/>
        <v>0</v>
      </c>
      <c r="R28" s="332"/>
      <c r="S28" s="547">
        <f t="shared" si="10"/>
        <v>0</v>
      </c>
      <c r="T28" s="545"/>
      <c r="U28" s="287" t="str">
        <f t="shared" si="11"/>
        <v>-</v>
      </c>
      <c r="V28" s="571">
        <f t="shared" si="12"/>
        <v>0</v>
      </c>
      <c r="W28" s="572" t="str">
        <f t="shared" si="2"/>
        <v xml:space="preserve">Net weight of finished part (only for info.): </v>
      </c>
      <c r="X28" s="573">
        <f t="shared" si="13"/>
        <v>0</v>
      </c>
      <c r="Y28" s="573">
        <f t="shared" si="14"/>
        <v>0</v>
      </c>
      <c r="Z28" s="573">
        <f t="shared" si="15"/>
        <v>0</v>
      </c>
      <c r="AA28" s="573">
        <f t="shared" si="3"/>
        <v>0</v>
      </c>
      <c r="AB28" s="573">
        <f t="shared" si="4"/>
        <v>0</v>
      </c>
      <c r="AC28" s="456"/>
      <c r="AD28" s="286">
        <f t="shared" si="16"/>
        <v>0</v>
      </c>
      <c r="AE28" s="330"/>
      <c r="AF28" s="287" t="str">
        <f t="shared" si="18"/>
        <v>-</v>
      </c>
      <c r="AG28" s="427">
        <f t="shared" si="19"/>
        <v>0</v>
      </c>
      <c r="AH28" s="16">
        <f t="shared" si="7"/>
        <v>0</v>
      </c>
      <c r="AI28" s="16">
        <f t="shared" si="8"/>
        <v>0</v>
      </c>
      <c r="AJ28" s="16">
        <f t="shared" si="17"/>
        <v>0</v>
      </c>
      <c r="AK28" s="16">
        <f t="shared" si="9"/>
        <v>0</v>
      </c>
    </row>
    <row r="29" spans="2:37" x14ac:dyDescent="0.25">
      <c r="B29" s="324"/>
      <c r="C29" s="493"/>
      <c r="D29" s="325"/>
      <c r="E29" s="312"/>
      <c r="F29" s="312"/>
      <c r="G29" s="313"/>
      <c r="H29" s="328"/>
      <c r="I29" s="312"/>
      <c r="J29" s="543"/>
      <c r="K29" s="544"/>
      <c r="L29" s="312"/>
      <c r="M29" s="346"/>
      <c r="N29" s="551"/>
      <c r="O29" s="355"/>
      <c r="P29" s="549">
        <f t="shared" si="0"/>
        <v>0</v>
      </c>
      <c r="Q29" s="547">
        <f t="shared" si="1"/>
        <v>0</v>
      </c>
      <c r="R29" s="332"/>
      <c r="S29" s="547">
        <f t="shared" si="10"/>
        <v>0</v>
      </c>
      <c r="T29" s="545"/>
      <c r="U29" s="287" t="str">
        <f t="shared" si="11"/>
        <v>-</v>
      </c>
      <c r="V29" s="571">
        <f t="shared" si="12"/>
        <v>0</v>
      </c>
      <c r="W29" s="572" t="str">
        <f t="shared" si="2"/>
        <v xml:space="preserve">Net weight of finished part (only for info.): </v>
      </c>
      <c r="X29" s="573">
        <f t="shared" si="13"/>
        <v>0</v>
      </c>
      <c r="Y29" s="573">
        <f t="shared" si="14"/>
        <v>0</v>
      </c>
      <c r="Z29" s="573">
        <f t="shared" si="15"/>
        <v>0</v>
      </c>
      <c r="AA29" s="573">
        <f t="shared" si="3"/>
        <v>0</v>
      </c>
      <c r="AB29" s="573">
        <f t="shared" si="4"/>
        <v>0</v>
      </c>
      <c r="AC29" s="456"/>
      <c r="AD29" s="286">
        <f t="shared" si="16"/>
        <v>0</v>
      </c>
      <c r="AE29" s="330"/>
      <c r="AF29" s="287" t="str">
        <f t="shared" si="18"/>
        <v>-</v>
      </c>
      <c r="AG29" s="427">
        <f t="shared" si="19"/>
        <v>0</v>
      </c>
      <c r="AH29" s="16">
        <f t="shared" si="7"/>
        <v>0</v>
      </c>
      <c r="AI29" s="16">
        <f t="shared" si="8"/>
        <v>0</v>
      </c>
      <c r="AJ29" s="16">
        <f t="shared" si="17"/>
        <v>0</v>
      </c>
      <c r="AK29" s="16">
        <f t="shared" si="9"/>
        <v>0</v>
      </c>
    </row>
    <row r="30" spans="2:37" x14ac:dyDescent="0.25">
      <c r="B30" s="324"/>
      <c r="C30" s="493"/>
      <c r="D30" s="325"/>
      <c r="E30" s="312"/>
      <c r="F30" s="312"/>
      <c r="G30" s="313"/>
      <c r="H30" s="328"/>
      <c r="I30" s="312"/>
      <c r="J30" s="543"/>
      <c r="K30" s="544"/>
      <c r="L30" s="312"/>
      <c r="M30" s="346"/>
      <c r="N30" s="551"/>
      <c r="O30" s="355"/>
      <c r="P30" s="549">
        <f t="shared" si="0"/>
        <v>0</v>
      </c>
      <c r="Q30" s="547">
        <f t="shared" si="1"/>
        <v>0</v>
      </c>
      <c r="R30" s="332"/>
      <c r="S30" s="547">
        <f t="shared" si="10"/>
        <v>0</v>
      </c>
      <c r="T30" s="545"/>
      <c r="U30" s="287" t="str">
        <f t="shared" si="11"/>
        <v>-</v>
      </c>
      <c r="V30" s="571">
        <f t="shared" si="12"/>
        <v>0</v>
      </c>
      <c r="W30" s="572" t="str">
        <f t="shared" si="2"/>
        <v xml:space="preserve">Net weight of finished part (only for info.): </v>
      </c>
      <c r="X30" s="573">
        <f t="shared" si="13"/>
        <v>0</v>
      </c>
      <c r="Y30" s="573">
        <f t="shared" si="14"/>
        <v>0</v>
      </c>
      <c r="Z30" s="573">
        <f t="shared" si="15"/>
        <v>0</v>
      </c>
      <c r="AA30" s="573">
        <f t="shared" si="3"/>
        <v>0</v>
      </c>
      <c r="AB30" s="573">
        <f t="shared" si="4"/>
        <v>0</v>
      </c>
      <c r="AC30" s="456"/>
      <c r="AD30" s="286">
        <f t="shared" si="16"/>
        <v>0</v>
      </c>
      <c r="AE30" s="330"/>
      <c r="AF30" s="287" t="str">
        <f t="shared" si="18"/>
        <v>-</v>
      </c>
      <c r="AG30" s="427">
        <f t="shared" si="19"/>
        <v>0</v>
      </c>
      <c r="AH30" s="16">
        <f t="shared" si="7"/>
        <v>0</v>
      </c>
      <c r="AI30" s="16">
        <f t="shared" si="8"/>
        <v>0</v>
      </c>
      <c r="AJ30" s="16">
        <f t="shared" si="17"/>
        <v>0</v>
      </c>
      <c r="AK30" s="16">
        <f t="shared" si="9"/>
        <v>0</v>
      </c>
    </row>
    <row r="31" spans="2:37" x14ac:dyDescent="0.25">
      <c r="B31" s="324"/>
      <c r="C31" s="493"/>
      <c r="D31" s="325"/>
      <c r="E31" s="312"/>
      <c r="F31" s="312"/>
      <c r="G31" s="313"/>
      <c r="H31" s="328"/>
      <c r="I31" s="312"/>
      <c r="J31" s="543"/>
      <c r="K31" s="544"/>
      <c r="L31" s="312"/>
      <c r="M31" s="346"/>
      <c r="N31" s="551"/>
      <c r="O31" s="355"/>
      <c r="P31" s="549">
        <f t="shared" si="0"/>
        <v>0</v>
      </c>
      <c r="Q31" s="547">
        <f t="shared" si="1"/>
        <v>0</v>
      </c>
      <c r="R31" s="332"/>
      <c r="S31" s="547">
        <f t="shared" si="10"/>
        <v>0</v>
      </c>
      <c r="T31" s="545"/>
      <c r="U31" s="287" t="str">
        <f t="shared" si="11"/>
        <v>-</v>
      </c>
      <c r="V31" s="571">
        <f t="shared" si="12"/>
        <v>0</v>
      </c>
      <c r="W31" s="572" t="str">
        <f t="shared" si="2"/>
        <v xml:space="preserve">Net weight of finished part (only for info.): </v>
      </c>
      <c r="X31" s="573">
        <f t="shared" si="13"/>
        <v>0</v>
      </c>
      <c r="Y31" s="573">
        <f t="shared" si="14"/>
        <v>0</v>
      </c>
      <c r="Z31" s="573">
        <f t="shared" si="15"/>
        <v>0</v>
      </c>
      <c r="AA31" s="573">
        <f t="shared" si="3"/>
        <v>0</v>
      </c>
      <c r="AB31" s="573">
        <f t="shared" si="4"/>
        <v>0</v>
      </c>
      <c r="AC31" s="456"/>
      <c r="AD31" s="286">
        <f t="shared" si="16"/>
        <v>0</v>
      </c>
      <c r="AE31" s="330"/>
      <c r="AF31" s="287" t="str">
        <f t="shared" si="18"/>
        <v>-</v>
      </c>
      <c r="AG31" s="427">
        <f t="shared" si="19"/>
        <v>0</v>
      </c>
      <c r="AH31" s="16">
        <f t="shared" si="7"/>
        <v>0</v>
      </c>
      <c r="AI31" s="16">
        <f t="shared" si="8"/>
        <v>0</v>
      </c>
      <c r="AJ31" s="16">
        <f t="shared" si="17"/>
        <v>0</v>
      </c>
      <c r="AK31" s="16">
        <f t="shared" si="9"/>
        <v>0</v>
      </c>
    </row>
    <row r="32" spans="2:37" ht="15.75" thickBot="1" x14ac:dyDescent="0.3">
      <c r="B32" s="326"/>
      <c r="C32" s="494"/>
      <c r="D32" s="327"/>
      <c r="E32" s="314"/>
      <c r="F32" s="314"/>
      <c r="G32" s="315"/>
      <c r="H32" s="329"/>
      <c r="I32" s="312"/>
      <c r="J32" s="553"/>
      <c r="K32" s="554"/>
      <c r="L32" s="314"/>
      <c r="M32" s="347"/>
      <c r="N32" s="552"/>
      <c r="O32" s="356"/>
      <c r="P32" s="550">
        <f t="shared" si="0"/>
        <v>0</v>
      </c>
      <c r="Q32" s="548">
        <f t="shared" si="1"/>
        <v>0</v>
      </c>
      <c r="R32" s="349"/>
      <c r="S32" s="555">
        <f t="shared" si="10"/>
        <v>0</v>
      </c>
      <c r="T32" s="556">
        <f>0%*(Q17+0%*Q17)</f>
        <v>0</v>
      </c>
      <c r="U32" s="557" t="str">
        <f t="shared" si="11"/>
        <v>-</v>
      </c>
      <c r="V32" s="574">
        <f t="shared" si="12"/>
        <v>0</v>
      </c>
      <c r="W32" s="572" t="str">
        <f t="shared" si="2"/>
        <v xml:space="preserve">Net weight of finished part (only for info.): </v>
      </c>
      <c r="X32" s="573">
        <f t="shared" si="13"/>
        <v>0</v>
      </c>
      <c r="Y32" s="573">
        <f t="shared" si="14"/>
        <v>0</v>
      </c>
      <c r="Z32" s="573">
        <f t="shared" si="15"/>
        <v>0</v>
      </c>
      <c r="AA32" s="573">
        <f t="shared" si="3"/>
        <v>0</v>
      </c>
      <c r="AB32" s="573">
        <f t="shared" si="4"/>
        <v>0</v>
      </c>
      <c r="AC32" s="457"/>
      <c r="AD32" s="444">
        <f t="shared" si="16"/>
        <v>0</v>
      </c>
      <c r="AE32" s="445"/>
      <c r="AF32" s="446" t="str">
        <f t="shared" si="18"/>
        <v>-</v>
      </c>
      <c r="AG32" s="429">
        <f t="shared" si="19"/>
        <v>0</v>
      </c>
      <c r="AH32" s="16">
        <f t="shared" si="7"/>
        <v>0</v>
      </c>
      <c r="AI32" s="16">
        <f t="shared" si="8"/>
        <v>0</v>
      </c>
      <c r="AJ32" s="16">
        <f t="shared" si="17"/>
        <v>0</v>
      </c>
      <c r="AK32" s="16">
        <f t="shared" si="9"/>
        <v>0</v>
      </c>
    </row>
    <row r="33" spans="1:37" ht="15.75" thickBot="1" x14ac:dyDescent="0.3">
      <c r="A33" s="146"/>
      <c r="B33" s="135"/>
      <c r="W33" s="16"/>
      <c r="X33" s="16"/>
      <c r="Y33" s="16"/>
      <c r="Z33" s="16"/>
      <c r="AA33" s="16"/>
      <c r="AH33" s="16"/>
      <c r="AI33" s="16"/>
      <c r="AJ33" s="16"/>
      <c r="AK33" s="16"/>
    </row>
    <row r="34" spans="1:37" ht="15" customHeight="1" x14ac:dyDescent="0.25">
      <c r="A34" s="146"/>
      <c r="B34" s="663" t="s">
        <v>42</v>
      </c>
      <c r="C34" s="664"/>
      <c r="D34" s="665"/>
      <c r="E34" s="669"/>
      <c r="F34" s="670"/>
      <c r="G34" s="670"/>
      <c r="H34" s="670"/>
      <c r="I34" s="670"/>
      <c r="J34" s="670"/>
      <c r="K34" s="671"/>
      <c r="L34" s="660" t="str">
        <f>VLOOKUP("M25",Languages!A:J,VLOOKUP(Summary!X6,Languages!$C$2:$D$10,2,FALSE),FALSE)</f>
        <v>Sums</v>
      </c>
      <c r="M34" s="357"/>
      <c r="N34" s="358"/>
      <c r="O34" s="358"/>
      <c r="P34" s="358"/>
      <c r="Q34" s="358"/>
      <c r="R34" s="358"/>
      <c r="S34" s="361" t="str">
        <f>VLOOKUP("M29",Languages!A:J,VLOOKUP(Summary!X6,Languages!$C$2:$D$10,2,FALSE),FALSE)</f>
        <v>Mat. OH</v>
      </c>
      <c r="T34" s="359" t="str">
        <f>VLOOKUP("M30",Languages!A:J,VLOOKUP(Summary!X6,Languages!$C$2:$D$10,2,FALSE),FALSE)</f>
        <v>Scrap</v>
      </c>
      <c r="U34" s="362"/>
      <c r="V34" s="363" t="str">
        <f>VLOOKUP("M31",Languages!A:J,VLOOKUP(Summary!X6,Languages!$C$2:$D$10,2,FALSE),FALSE)</f>
        <v>Total MC</v>
      </c>
      <c r="X34" s="573">
        <f>SUM(X16:X32)</f>
        <v>0</v>
      </c>
      <c r="Y34" s="573">
        <f>SUM(Y16:Y32)</f>
        <v>0</v>
      </c>
      <c r="Z34" s="573">
        <f>SUM(Z16:Z32)</f>
        <v>0</v>
      </c>
      <c r="AA34" s="573">
        <f>SUM(AA16:AA32)</f>
        <v>0</v>
      </c>
      <c r="AB34" s="573">
        <f>SUM(AB16:AB32)</f>
        <v>0</v>
      </c>
      <c r="AC34" s="447"/>
      <c r="AD34" s="448"/>
      <c r="AE34" s="448"/>
      <c r="AF34" s="448"/>
      <c r="AG34" s="499" t="str">
        <f>VLOOKUP("M32",Languages!A:J,VLOOKUP(Summary!X6,Languages!$C$2:$D$10,2,FALSE),FALSE)</f>
        <v>Total material carbon footprint</v>
      </c>
      <c r="AH34" s="573">
        <f>SUM(AH16:AH32)</f>
        <v>0</v>
      </c>
      <c r="AI34" s="573">
        <f>SUM(AI16:AI32)</f>
        <v>0</v>
      </c>
      <c r="AJ34" s="573">
        <f>SUM(AJ16:AJ32)</f>
        <v>0</v>
      </c>
      <c r="AK34" s="573">
        <f>SUM(AK16:AK32)</f>
        <v>0</v>
      </c>
    </row>
    <row r="35" spans="1:37" x14ac:dyDescent="0.25">
      <c r="B35" s="666" t="str">
        <f>VLOOKUP("M24",Languages!A:J,VLOOKUP(Summary!X6,Languages!$C$2:$D$10,2,FALSE),FALSE)</f>
        <v>Comments</v>
      </c>
      <c r="C35" s="667"/>
      <c r="D35" s="668"/>
      <c r="E35" s="606"/>
      <c r="F35" s="607"/>
      <c r="G35" s="607"/>
      <c r="H35" s="607"/>
      <c r="I35" s="607"/>
      <c r="J35" s="607"/>
      <c r="K35" s="608"/>
      <c r="L35" s="661"/>
      <c r="M35" s="364"/>
      <c r="Q35" s="13" t="str">
        <f>VLOOKUP("M26",Languages!A:J,VLOOKUP(Summary!X6,Languages!$C$2:$D$10,2,FALSE),FALSE)</f>
        <v>Total DMC</v>
      </c>
      <c r="S35" s="575">
        <f>SUM(S15:S32)</f>
        <v>0</v>
      </c>
      <c r="T35" s="577">
        <f>SUM(T15:T32)</f>
        <v>0</v>
      </c>
      <c r="V35" s="578">
        <f>SUM(V15:V32)</f>
        <v>0</v>
      </c>
      <c r="AC35" s="431"/>
      <c r="AG35" s="581">
        <f>SUM(AG15:AG32)</f>
        <v>0</v>
      </c>
    </row>
    <row r="36" spans="1:37" x14ac:dyDescent="0.25">
      <c r="B36" s="144"/>
      <c r="C36" s="31"/>
      <c r="D36" s="31"/>
      <c r="E36" s="606"/>
      <c r="F36" s="607"/>
      <c r="G36" s="607"/>
      <c r="H36" s="607"/>
      <c r="I36" s="607"/>
      <c r="J36" s="607"/>
      <c r="K36" s="608"/>
      <c r="L36" s="661"/>
      <c r="M36" s="364"/>
      <c r="Q36" s="13" t="str">
        <f>VLOOKUP("M27",Languages!A:J,VLOOKUP(Summary!X6,Languages!$C$2:$D$10,2,FALSE),FALSE)</f>
        <v>Raw Materials</v>
      </c>
      <c r="S36" s="575">
        <f>SUMIF(G15:G32,Assumptions!H5,S15:S32)</f>
        <v>0</v>
      </c>
      <c r="T36" s="147"/>
      <c r="V36" s="579">
        <f>SUMIF(G15:G32,Assumptions!H5,V15:V32)</f>
        <v>0</v>
      </c>
      <c r="AC36" s="431"/>
      <c r="AG36" s="432"/>
    </row>
    <row r="37" spans="1:37" ht="15.75" thickBot="1" x14ac:dyDescent="0.3">
      <c r="B37" s="136"/>
      <c r="C37" s="33"/>
      <c r="D37" s="33"/>
      <c r="E37" s="609"/>
      <c r="F37" s="610"/>
      <c r="G37" s="610"/>
      <c r="H37" s="610"/>
      <c r="I37" s="610"/>
      <c r="J37" s="610"/>
      <c r="K37" s="611"/>
      <c r="L37" s="662"/>
      <c r="M37" s="365"/>
      <c r="N37" s="366"/>
      <c r="O37" s="366"/>
      <c r="P37" s="366"/>
      <c r="Q37" s="367" t="str">
        <f>VLOOKUP("M28",Languages!A:J,VLOOKUP(Summary!X6,Languages!$C$2:$D$10,2,FALSE),FALSE)</f>
        <v>Purchased Parts</v>
      </c>
      <c r="R37" s="366"/>
      <c r="S37" s="576">
        <f>SUM(S15:S32)-S36</f>
        <v>0</v>
      </c>
      <c r="T37" s="368"/>
      <c r="U37" s="366"/>
      <c r="V37" s="580">
        <f>SUM(V15:V32)-V36</f>
        <v>0</v>
      </c>
      <c r="AC37" s="433"/>
      <c r="AD37" s="449"/>
      <c r="AE37" s="449"/>
      <c r="AF37" s="449"/>
      <c r="AG37" s="434"/>
    </row>
  </sheetData>
  <mergeCells count="24">
    <mergeCell ref="F3:Q6"/>
    <mergeCell ref="G7:I7"/>
    <mergeCell ref="G8:I8"/>
    <mergeCell ref="G9:I9"/>
    <mergeCell ref="G10:I10"/>
    <mergeCell ref="R3:V4"/>
    <mergeCell ref="R7:V7"/>
    <mergeCell ref="R8:V8"/>
    <mergeCell ref="R9:V9"/>
    <mergeCell ref="R10:V10"/>
    <mergeCell ref="L34:L37"/>
    <mergeCell ref="B34:D34"/>
    <mergeCell ref="B35:D35"/>
    <mergeCell ref="E34:K37"/>
    <mergeCell ref="B9:E10"/>
    <mergeCell ref="R14:S14"/>
    <mergeCell ref="R13:S13"/>
    <mergeCell ref="T13:U13"/>
    <mergeCell ref="AC12:AG12"/>
    <mergeCell ref="B12:L12"/>
    <mergeCell ref="AE13:AF13"/>
    <mergeCell ref="AE14:AF14"/>
    <mergeCell ref="T14:U14"/>
    <mergeCell ref="M12:V12"/>
  </mergeCells>
  <phoneticPr fontId="16" type="noConversion"/>
  <dataValidations count="3">
    <dataValidation type="list" allowBlank="1" showInputMessage="1" showErrorMessage="1" sqref="M17:M32" xr:uid="{00000000-0002-0000-0100-000000000000}">
      <formula1>PurchasingCurrency</formula1>
    </dataValidation>
    <dataValidation type="list" allowBlank="1" showInputMessage="1" showErrorMessage="1" sqref="I17:I32" xr:uid="{00000000-0002-0000-0100-000001000000}">
      <formula1>PurchasingUnit</formula1>
    </dataValidation>
    <dataValidation type="list" allowBlank="1" showInputMessage="1" showErrorMessage="1" sqref="G17:G32" xr:uid="{00000000-0002-0000-0100-000002000000}">
      <formula1>MaterialClass</formula1>
    </dataValidation>
  </dataValidations>
  <printOptions horizontalCentered="1"/>
  <pageMargins left="0.39370078740157483" right="0.39370078740157483" top="0.39370078740157483" bottom="0.39370078740157483" header="0.31496062992125984" footer="0.31496062992125984"/>
  <pageSetup scale="60" orientation="landscape" r:id="rId1"/>
  <headerFooter>
    <oddFooter>&amp;LUnrestricted</oddFooter>
  </headerFooter>
  <customProperties>
    <customPr name="EpmWorksheetKeyString_GUID" r:id="rId2"/>
  </customProperties>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AU37"/>
  <sheetViews>
    <sheetView showGridLines="0" zoomScale="85" zoomScaleNormal="85" zoomScaleSheetLayoutView="70" workbookViewId="0"/>
  </sheetViews>
  <sheetFormatPr baseColWidth="10" defaultColWidth="9.140625" defaultRowHeight="15" x14ac:dyDescent="0.25"/>
  <cols>
    <col min="1" max="1" width="9.140625" style="146"/>
    <col min="2" max="2" width="4.7109375" customWidth="1"/>
    <col min="3" max="3" width="20.7109375" customWidth="1"/>
    <col min="4" max="4" width="16.7109375" customWidth="1"/>
    <col min="5" max="6" width="12.7109375" customWidth="1"/>
    <col min="7" max="8" width="8.7109375" customWidth="1"/>
    <col min="9" max="9" width="10.7109375" hidden="1" customWidth="1"/>
    <col min="10" max="11" width="8.7109375" customWidth="1"/>
    <col min="12" max="12" width="9.140625" customWidth="1"/>
    <col min="13" max="25" width="8.7109375" customWidth="1"/>
    <col min="26" max="26" width="15.5703125" bestFit="1" customWidth="1"/>
    <col min="27" max="28" width="4.140625" hidden="1" customWidth="1"/>
    <col min="29" max="29" width="4.7109375" hidden="1" customWidth="1"/>
    <col min="30" max="30" width="4.140625" hidden="1" customWidth="1"/>
    <col min="31" max="31" width="4.5703125" hidden="1" customWidth="1"/>
    <col min="32" max="32" width="48.85546875" hidden="1" customWidth="1"/>
    <col min="33" max="33" width="6.42578125" hidden="1" customWidth="1" collapsed="1"/>
    <col min="34" max="34" width="5.140625" hidden="1" customWidth="1"/>
    <col min="35" max="35" width="72.140625" hidden="1" customWidth="1" collapsed="1"/>
    <col min="36" max="36" width="5.42578125" hidden="1" customWidth="1"/>
    <col min="37" max="37" width="9.42578125" bestFit="1" customWidth="1"/>
    <col min="38" max="39" width="8.7109375" bestFit="1" customWidth="1"/>
    <col min="40" max="40" width="9.140625" bestFit="1" customWidth="1"/>
    <col min="41" max="41" width="7.5703125" bestFit="1" customWidth="1"/>
    <col min="42" max="42" width="2.7109375" bestFit="1" customWidth="1"/>
    <col min="43" max="43" width="9.140625" bestFit="1" customWidth="1"/>
    <col min="44" max="44" width="8.85546875" bestFit="1" customWidth="1"/>
    <col min="45" max="45" width="6.140625" hidden="1" customWidth="1"/>
    <col min="46" max="46" width="7.7109375" hidden="1" customWidth="1"/>
    <col min="47" max="47" width="8.42578125" hidden="1" customWidth="1"/>
  </cols>
  <sheetData>
    <row r="2" spans="2:47" ht="15.75" thickBot="1" x14ac:dyDescent="0.3"/>
    <row r="3" spans="2:47" ht="15" customHeight="1" x14ac:dyDescent="0.25">
      <c r="B3" s="294"/>
      <c r="C3" s="295"/>
      <c r="D3" s="296"/>
      <c r="E3" s="622" t="str">
        <f>Summary!F3</f>
        <v>BOSCH Material and Process Evaluation (MPE)</v>
      </c>
      <c r="F3" s="622"/>
      <c r="G3" s="622"/>
      <c r="H3" s="622"/>
      <c r="I3" s="622"/>
      <c r="J3" s="622"/>
      <c r="K3" s="622"/>
      <c r="L3" s="622"/>
      <c r="M3" s="622"/>
      <c r="N3" s="622"/>
      <c r="O3" s="622"/>
      <c r="P3" s="622"/>
      <c r="Q3" s="622"/>
      <c r="R3" s="622"/>
      <c r="S3" s="622"/>
      <c r="T3" s="622"/>
      <c r="U3" s="622"/>
      <c r="V3" s="622"/>
      <c r="W3" s="621" t="str">
        <f>VLOOKUP("d",Languages!A:J,VLOOKUP(Summary!X6,Languages!$C$2:$D$10,2,FALSE),FALSE)</f>
        <v>Manufacturing</v>
      </c>
      <c r="X3" s="622"/>
      <c r="Y3" s="622"/>
      <c r="Z3" s="627"/>
    </row>
    <row r="4" spans="2:47" ht="15" customHeight="1" thickBot="1" x14ac:dyDescent="0.3">
      <c r="B4" s="297"/>
      <c r="C4" s="1"/>
      <c r="D4" s="298"/>
      <c r="E4" s="624"/>
      <c r="F4" s="624"/>
      <c r="G4" s="624"/>
      <c r="H4" s="624"/>
      <c r="I4" s="624"/>
      <c r="J4" s="624"/>
      <c r="K4" s="624"/>
      <c r="L4" s="624"/>
      <c r="M4" s="624"/>
      <c r="N4" s="624"/>
      <c r="O4" s="624"/>
      <c r="P4" s="624"/>
      <c r="Q4" s="624"/>
      <c r="R4" s="624"/>
      <c r="S4" s="624"/>
      <c r="T4" s="624"/>
      <c r="U4" s="624"/>
      <c r="V4" s="624"/>
      <c r="W4" s="623"/>
      <c r="X4" s="624"/>
      <c r="Y4" s="624"/>
      <c r="Z4" s="693"/>
    </row>
    <row r="5" spans="2:47" ht="15" customHeight="1" thickBot="1" x14ac:dyDescent="0.3">
      <c r="B5" s="297"/>
      <c r="C5" s="1"/>
      <c r="D5" s="298"/>
      <c r="E5" s="624"/>
      <c r="F5" s="624"/>
      <c r="G5" s="624"/>
      <c r="H5" s="624"/>
      <c r="I5" s="624"/>
      <c r="J5" s="624"/>
      <c r="K5" s="624"/>
      <c r="L5" s="624"/>
      <c r="M5" s="624"/>
      <c r="N5" s="624"/>
      <c r="O5" s="624"/>
      <c r="P5" s="624"/>
      <c r="Q5" s="624"/>
      <c r="R5" s="624"/>
      <c r="S5" s="624"/>
      <c r="T5" s="624"/>
      <c r="U5" s="624"/>
      <c r="V5" s="624"/>
      <c r="W5" s="157"/>
      <c r="X5" s="204" t="str">
        <f>Summary!W5</f>
        <v>Version</v>
      </c>
      <c r="Y5" s="205" t="str">
        <f>Summary!X5</f>
        <v>4.1</v>
      </c>
      <c r="Z5" s="139"/>
    </row>
    <row r="6" spans="2:47" ht="15" customHeight="1" thickBot="1" x14ac:dyDescent="0.3">
      <c r="B6" s="297"/>
      <c r="C6" s="1"/>
      <c r="D6" s="298"/>
      <c r="E6" s="626"/>
      <c r="F6" s="626"/>
      <c r="G6" s="626"/>
      <c r="H6" s="626"/>
      <c r="I6" s="626"/>
      <c r="J6" s="626"/>
      <c r="K6" s="626"/>
      <c r="L6" s="626"/>
      <c r="M6" s="626"/>
      <c r="N6" s="626"/>
      <c r="O6" s="626"/>
      <c r="P6" s="626"/>
      <c r="Q6" s="626"/>
      <c r="R6" s="626"/>
      <c r="S6" s="626"/>
      <c r="T6" s="626"/>
      <c r="U6" s="626"/>
      <c r="V6" s="626"/>
      <c r="W6" s="140"/>
      <c r="X6" s="145" t="str">
        <f>Summary!W6</f>
        <v>Language</v>
      </c>
      <c r="Y6" s="240" t="str">
        <f>Summary!X6</f>
        <v>English</v>
      </c>
      <c r="Z6" s="241"/>
    </row>
    <row r="7" spans="2:47" x14ac:dyDescent="0.25">
      <c r="B7" s="297"/>
      <c r="C7" s="1"/>
      <c r="D7" s="298"/>
      <c r="E7" s="131" t="str">
        <f>Summary!G7</f>
        <v>Supplier</v>
      </c>
      <c r="F7" s="31"/>
      <c r="G7" s="703" t="str">
        <f>IF(Summary!O7=0,"",Summary!O7)</f>
        <v/>
      </c>
      <c r="H7" s="704"/>
      <c r="I7" s="704"/>
      <c r="J7" s="705"/>
      <c r="K7" s="268"/>
      <c r="L7" s="283"/>
      <c r="M7" s="220" t="str">
        <f>VLOOKUP("0.01",Languages!A:J,VLOOKUP(Summary!X6,Languages!$C$2:$D$10,2,FALSE),FALSE)</f>
        <v>Field</v>
      </c>
      <c r="U7" s="131" t="str">
        <f>Summary!T7</f>
        <v>Project</v>
      </c>
      <c r="V7" s="52"/>
      <c r="W7" s="695" t="str">
        <f>IF(Summary!V7=0,"",Summary!V7)</f>
        <v/>
      </c>
      <c r="X7" s="674"/>
      <c r="Y7" s="674"/>
      <c r="Z7" s="675"/>
    </row>
    <row r="8" spans="2:47" x14ac:dyDescent="0.25">
      <c r="B8" s="297"/>
      <c r="C8" s="1"/>
      <c r="D8" s="298"/>
      <c r="E8" s="32" t="str">
        <f>Summary!G8</f>
        <v>Contact person</v>
      </c>
      <c r="F8" s="32"/>
      <c r="G8" s="687" t="str">
        <f>IF(Summary!O8=0,"",Summary!O8)</f>
        <v/>
      </c>
      <c r="H8" s="688"/>
      <c r="I8" s="688"/>
      <c r="J8" s="689"/>
      <c r="K8" s="269"/>
      <c r="L8" s="24"/>
      <c r="M8" s="299" t="str">
        <f>VLOOKUP("0.02",Languages!A:J,VLOOKUP(Summary!X6,Languages!$C$2:$D$10,2,FALSE),FALSE)</f>
        <v>Level 1</v>
      </c>
      <c r="U8" s="32" t="str">
        <f>Summary!T8</f>
        <v>Part number</v>
      </c>
      <c r="V8" s="7"/>
      <c r="W8" s="696" t="str">
        <f>IF(Summary!V8=0,"",Summary!V8)</f>
        <v/>
      </c>
      <c r="X8" s="677"/>
      <c r="Y8" s="677"/>
      <c r="Z8" s="678"/>
    </row>
    <row r="9" spans="2:47" x14ac:dyDescent="0.25">
      <c r="B9" s="612"/>
      <c r="C9" s="613"/>
      <c r="D9" s="614"/>
      <c r="E9" s="32" t="str">
        <f>Summary!G9</f>
        <v>E-Mail</v>
      </c>
      <c r="F9" s="32"/>
      <c r="G9" s="687" t="str">
        <f>IF(Summary!O9=0,"",Summary!O9)</f>
        <v/>
      </c>
      <c r="H9" s="688"/>
      <c r="I9" s="688"/>
      <c r="J9" s="689"/>
      <c r="K9" s="269"/>
      <c r="L9" s="24"/>
      <c r="M9" s="303" t="str">
        <f>VLOOKUP("0.03",Languages!A:J,VLOOKUP(Summary!X6,Languages!$C$2:$D$10,2,FALSE),FALSE)</f>
        <v>Level 2</v>
      </c>
      <c r="U9" s="32" t="str">
        <f>Summary!T9</f>
        <v>Part name</v>
      </c>
      <c r="V9" s="7"/>
      <c r="W9" s="696" t="str">
        <f>IF(Summary!V9=0,"",Summary!V9)</f>
        <v/>
      </c>
      <c r="X9" s="677"/>
      <c r="Y9" s="677"/>
      <c r="Z9" s="678"/>
    </row>
    <row r="10" spans="2:47" ht="15.75" thickBot="1" x14ac:dyDescent="0.3">
      <c r="B10" s="615"/>
      <c r="C10" s="616"/>
      <c r="D10" s="617"/>
      <c r="E10" s="133" t="str">
        <f>Summary!G10</f>
        <v>Telephone</v>
      </c>
      <c r="F10" s="133"/>
      <c r="G10" s="690" t="str">
        <f>IF(Summary!O10=0,"",Summary!O10)</f>
        <v/>
      </c>
      <c r="H10" s="691"/>
      <c r="I10" s="691"/>
      <c r="J10" s="692"/>
      <c r="K10" s="270"/>
      <c r="L10" s="284"/>
      <c r="M10" s="238" t="str">
        <f>VLOOKUP("0.04",Languages!A:J,VLOOKUP(Summary!X6,Languages!$C$2:$D$10,2,FALSE),FALSE)</f>
        <v>calculated</v>
      </c>
      <c r="N10" s="38"/>
      <c r="O10" s="38"/>
      <c r="P10" s="38"/>
      <c r="Q10" s="38"/>
      <c r="R10" s="38"/>
      <c r="S10" s="38"/>
      <c r="T10" s="38"/>
      <c r="U10" s="133" t="str">
        <f>Summary!T10</f>
        <v>Quotation date</v>
      </c>
      <c r="V10" s="134"/>
      <c r="W10" s="697" t="str">
        <f>IF(Summary!V10=0,"",Summary!V10)</f>
        <v/>
      </c>
      <c r="X10" s="680"/>
      <c r="Y10" s="680"/>
      <c r="Z10" s="681"/>
    </row>
    <row r="11" spans="2:47" ht="15.75" thickBot="1" x14ac:dyDescent="0.3">
      <c r="B11" s="11"/>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2:47" ht="15.75" customHeight="1" thickBot="1" x14ac:dyDescent="0.3">
      <c r="B12" s="706" t="str">
        <f>VLOOKUP("P01",Languages!A:J,VLOOKUP(Summary!X6,Languages!$C$2:$D$10,2,FALSE),FALSE)</f>
        <v>General inputs</v>
      </c>
      <c r="C12" s="707"/>
      <c r="D12" s="707"/>
      <c r="E12" s="707"/>
      <c r="F12" s="707"/>
      <c r="G12" s="707"/>
      <c r="H12" s="707"/>
      <c r="I12" s="707"/>
      <c r="J12" s="707"/>
      <c r="K12" s="707"/>
      <c r="L12" s="659" t="str">
        <f>VLOOKUP("P02",Languages!A:J,VLOOKUP(Summary!X6,Languages!$C$2:$D$10,2,FALSE),FALSE)</f>
        <v>Cost inputs</v>
      </c>
      <c r="M12" s="659"/>
      <c r="N12" s="659"/>
      <c r="O12" s="659"/>
      <c r="P12" s="659"/>
      <c r="Q12" s="659"/>
      <c r="R12" s="659"/>
      <c r="S12" s="659"/>
      <c r="T12" s="659"/>
      <c r="U12" s="659"/>
      <c r="V12" s="659"/>
      <c r="W12" s="659"/>
      <c r="X12" s="659"/>
      <c r="Y12" s="659"/>
      <c r="Z12" s="659"/>
      <c r="AF12" s="694" t="s">
        <v>43</v>
      </c>
      <c r="AI12" s="694" t="str">
        <f>G14&amp;"    "
&amp;$R$14</f>
        <v>Utilization ratio (only for info.)    Manufacturing lot size (only for info.)</v>
      </c>
      <c r="AK12" s="702" t="str">
        <f>VLOOKUP("P03",Languages!A:J,VLOOKUP(Summary!X6,Languages!$C$2:$D$10,2,FALSE),FALSE)</f>
        <v>Carbon footprint inputs</v>
      </c>
      <c r="AL12" s="702"/>
      <c r="AM12" s="702"/>
      <c r="AN12" s="702"/>
      <c r="AO12" s="702"/>
      <c r="AP12" s="702"/>
      <c r="AQ12" s="702"/>
      <c r="AR12" s="702"/>
    </row>
    <row r="13" spans="2:47" ht="15" customHeight="1" x14ac:dyDescent="0.25">
      <c r="B13" s="18" t="s">
        <v>44</v>
      </c>
      <c r="C13" s="239" t="s">
        <v>45</v>
      </c>
      <c r="D13" s="239" t="s">
        <v>46</v>
      </c>
      <c r="E13" s="239" t="s">
        <v>47</v>
      </c>
      <c r="F13" s="239" t="s">
        <v>48</v>
      </c>
      <c r="G13" s="259" t="s">
        <v>49</v>
      </c>
      <c r="H13" s="369" t="s">
        <v>50</v>
      </c>
      <c r="I13" s="259" t="s">
        <v>51</v>
      </c>
      <c r="J13" s="239" t="s">
        <v>52</v>
      </c>
      <c r="K13" s="239" t="s">
        <v>53</v>
      </c>
      <c r="L13" s="378" t="s">
        <v>54</v>
      </c>
      <c r="M13" s="379" t="s">
        <v>55</v>
      </c>
      <c r="N13" s="379" t="s">
        <v>56</v>
      </c>
      <c r="O13" s="379" t="s">
        <v>57</v>
      </c>
      <c r="P13" s="379" t="s">
        <v>58</v>
      </c>
      <c r="Q13" s="379" t="s">
        <v>59</v>
      </c>
      <c r="R13" s="379" t="s">
        <v>60</v>
      </c>
      <c r="S13" s="379" t="s">
        <v>61</v>
      </c>
      <c r="T13" s="379" t="s">
        <v>62</v>
      </c>
      <c r="U13" s="698" t="s">
        <v>63</v>
      </c>
      <c r="V13" s="699"/>
      <c r="W13" s="698" t="s">
        <v>64</v>
      </c>
      <c r="X13" s="699"/>
      <c r="Y13" s="379" t="s">
        <v>65</v>
      </c>
      <c r="Z13" s="380" t="s">
        <v>66</v>
      </c>
      <c r="AF13" s="694"/>
      <c r="AI13" s="694"/>
      <c r="AK13" s="418" t="s">
        <v>67</v>
      </c>
      <c r="AL13" s="437" t="s">
        <v>68</v>
      </c>
      <c r="AM13" s="437" t="s">
        <v>69</v>
      </c>
      <c r="AN13" s="437" t="s">
        <v>70</v>
      </c>
      <c r="AO13" s="700" t="s">
        <v>71</v>
      </c>
      <c r="AP13" s="701"/>
      <c r="AQ13" s="437" t="s">
        <v>72</v>
      </c>
      <c r="AR13" s="438" t="s">
        <v>73</v>
      </c>
    </row>
    <row r="14" spans="2:47" ht="69.95" customHeight="1" x14ac:dyDescent="0.25">
      <c r="B14" s="222" t="str">
        <f>VLOOKUP("P1",Languages!A:J,VLOOKUP(Summary!X6,Languages!$C$2:$D$10,2,FALSE),FALSE)</f>
        <v>Manufacturing step no.</v>
      </c>
      <c r="C14" s="262" t="str">
        <f>VLOOKUP(C13,Languages!A:J,VLOOKUP(Summary!X6,Languages!$C$2:$D$10,2,FALSE),FALSE)</f>
        <v>Designation Manufacturing step</v>
      </c>
      <c r="D14" s="262" t="str">
        <f>VLOOKUP(D13,Languages!A:J,VLOOKUP(Summary!X6,Languages!$C$2:$D$10,2,FALSE),FALSE)</f>
        <v>Designation facility / machine / type</v>
      </c>
      <c r="E14" s="262" t="str">
        <f>VLOOKUP(E13,Languages!A:J,VLOOKUP(Summary!$X$6,Languages!$C$2:$D$10,2,FALSE),FALSE)</f>
        <v>Investment facility / machine / type</v>
      </c>
      <c r="F14" s="262" t="s">
        <v>74</v>
      </c>
      <c r="G14" s="229" t="str">
        <f>VLOOKUP(G13,Languages!A:J,VLOOKUP(Summary!$X$6,Languages!$C$2:$D$10,2,FALSE),FALSE)</f>
        <v>Utilization ratio (only for info.)</v>
      </c>
      <c r="H14" s="245" t="str">
        <f>VLOOKUP(H13,Languages!A:J,VLOOKUP(Summary!$X$6,Languages!$C$2:$D$10,2,FALSE),FALSE)</f>
        <v>Cycle time</v>
      </c>
      <c r="I14" s="232" t="s">
        <v>75</v>
      </c>
      <c r="J14" s="262" t="str">
        <f>VLOOKUP(J13,Languages!A:J,VLOOKUP(Summary!$X$6,Languages!$C$2:$D$10,2,FALSE),FALSE)</f>
        <v>Number of parts per cycle</v>
      </c>
      <c r="K14" s="262" t="str">
        <f>VLOOKUP(K13,Languages!A:J,VLOOKUP(Summary!$X$6,Languages!$C$2:$D$10,2,FALSE),FALSE)</f>
        <v>Usage</v>
      </c>
      <c r="L14" s="381" t="str">
        <f>VLOOKUP(L13,Languages!A:J,VLOOKUP(Summary!$X$6,Languages!$C$2:$D$10,2,FALSE),FALSE)</f>
        <v>Machine hourly rate</v>
      </c>
      <c r="M14" s="262" t="str">
        <f>VLOOKUP(M13,Languages!A:J,VLOOKUP(Summary!$X$6,Languages!$C$2:$D$10,2,FALSE),FALSE)</f>
        <v>Machine costs</v>
      </c>
      <c r="N14" s="262" t="str">
        <f>VLOOKUP(N13,Languages!A:J,VLOOKUP(Summary!$X$6,Languages!$C$2:$D$10,2,FALSE),FALSE)</f>
        <v>Number of direct workers</v>
      </c>
      <c r="O14" s="262" t="str">
        <f>VLOOKUP(O13,Languages!A:J,VLOOKUP(Summary!$X$6,Languages!$C$2:$D$10,2,FALSE),FALSE)</f>
        <v>Total labor hourly rate</v>
      </c>
      <c r="P14" s="262" t="str">
        <f>VLOOKUP(P13,Languages!A:J,VLOOKUP(Summary!$X$6,Languages!$C$2:$D$10,2,FALSE),FALSE)</f>
        <v>Direct labor costs</v>
      </c>
      <c r="Q14" s="262" t="str">
        <f>VLOOKUP(Q13,Languages!A:J,VLOOKUP(Summary!$X$6,Languages!$C$2:$D$10,2,FALSE),FALSE)</f>
        <v>Setup costs / Process costs per unit</v>
      </c>
      <c r="R14" s="262" t="str">
        <f>VLOOKUP(R13,Languages!A:J,VLOOKUP(Summary!$X$6,Languages!$C$2:$D$10,2,FALSE),FALSE)</f>
        <v>Manufacturing lot size (only for info.)</v>
      </c>
      <c r="S14" s="262" t="str">
        <f>VLOOKUP(S13,Languages!A:J,VLOOKUP(Summary!$X$6,Languages!$C$2:$D$10,2,FALSE),FALSE)</f>
        <v>Tool maintenance</v>
      </c>
      <c r="T14" s="262" t="str">
        <f>VLOOKUP(T13,Languages!A:J,VLOOKUP(Summary!$X$6,Languages!$C$2:$D$10,2,FALSE),FALSE)</f>
        <v>Direct manufacturing costs</v>
      </c>
      <c r="U14" s="657" t="str">
        <f>VLOOKUP(U13,Languages!A:J,VLOOKUP(Summary!$X$6,Languages!$C$2:$D$10,2,FALSE),FALSE)</f>
        <v>Manufacturing overhead costs
(Base is P16)</v>
      </c>
      <c r="V14" s="658"/>
      <c r="W14" s="657" t="str">
        <f>VLOOKUP(W13,Languages!A:J,VLOOKUP(Summary!$X$6,Languages!$C$2:$D$10,2,FALSE),FALSE)</f>
        <v>Manufacturing scrap</v>
      </c>
      <c r="X14" s="658"/>
      <c r="Y14" s="245" t="str">
        <f>VLOOKUP(Y13,Languages!A:J,VLOOKUP(Summary!$X$6,Languages!$C$2:$D$10,2,FALSE),FALSE)</f>
        <v>Manufacturing costs</v>
      </c>
      <c r="Z14" s="382" t="str">
        <f>VLOOKUP(Z13,Languages!A:J,VLOOKUP(Summary!$X$6,Languages!$C$2:$D$10,2,FALSE),FALSE)</f>
        <v>Total Manufacturing costs</v>
      </c>
      <c r="AA14" s="15" t="s">
        <v>76</v>
      </c>
      <c r="AB14" s="15" t="s">
        <v>77</v>
      </c>
      <c r="AC14" s="15" t="s">
        <v>78</v>
      </c>
      <c r="AD14" s="15" t="s">
        <v>79</v>
      </c>
      <c r="AE14" s="15" t="s">
        <v>80</v>
      </c>
      <c r="AF14" s="694"/>
      <c r="AG14" s="15" t="s">
        <v>81</v>
      </c>
      <c r="AH14" s="15" t="s">
        <v>82</v>
      </c>
      <c r="AI14" s="694"/>
      <c r="AK14" s="439" t="str">
        <f>VLOOKUP(AK13,Languages!A:J,VLOOKUP(Summary!$X$6,Languages!$C$2:$D$10,2,FALSE),FALSE)</f>
        <v>Machine carbon footprint rate</v>
      </c>
      <c r="AL14" s="245" t="str">
        <f>VLOOKUP(AL13,Languages!A:J,VLOOKUP(Summary!$X$6,Languages!$C$2:$D$10,2,FALSE),FALSE)</f>
        <v>Machine carbon footprint</v>
      </c>
      <c r="AM14" s="229" t="str">
        <f>VLOOKUP(AM13,Languages!A:J,VLOOKUP(Summary!$X$6,Languages!$C$2:$D$10,2,FALSE),FALSE)</f>
        <v>Carbon footprint per unit</v>
      </c>
      <c r="AN14" s="262" t="str">
        <f>VLOOKUP(AN13,Languages!A:J,VLOOKUP(Summary!$X$6,Languages!$C$2:$D$10,2,FALSE),FALSE)</f>
        <v>Manufacturing carbon footprint I</v>
      </c>
      <c r="AO14" s="657" t="str">
        <f>VLOOKUP(AO13,Languages!A:J,VLOOKUP(Summary!$X$6,Languages!$C$2:$D$10,2,FALSE),FALSE)</f>
        <v>Manufacturing scrap carbon footprint</v>
      </c>
      <c r="AP14" s="658"/>
      <c r="AQ14" s="245" t="str">
        <f>VLOOKUP(AQ13,Languages!A:J,VLOOKUP(Summary!$X$6,Languages!$C$2:$D$10,2,FALSE),FALSE)</f>
        <v>Manufacturing carbon footprint II</v>
      </c>
      <c r="AR14" s="440" t="str">
        <f>VLOOKUP(AR13,Languages!A:J,VLOOKUP(Summary!$X$6,Languages!$C$2:$D$10,2,FALSE),FALSE)</f>
        <v>Production carbon footprint</v>
      </c>
      <c r="AS14" s="15" t="s">
        <v>83</v>
      </c>
      <c r="AT14" s="15" t="s">
        <v>84</v>
      </c>
      <c r="AU14" s="15" t="s">
        <v>85</v>
      </c>
    </row>
    <row r="15" spans="2:47" ht="15" customHeight="1" x14ac:dyDescent="0.25">
      <c r="B15" s="222"/>
      <c r="C15" s="262"/>
      <c r="D15" s="262"/>
      <c r="E15" s="262"/>
      <c r="F15" s="262"/>
      <c r="G15" s="373"/>
      <c r="H15" s="245" t="s">
        <v>86</v>
      </c>
      <c r="I15" s="232"/>
      <c r="J15" s="232"/>
      <c r="K15" s="376"/>
      <c r="L15" s="383">
        <f>Summary!D18</f>
        <v>0</v>
      </c>
      <c r="M15" s="246">
        <f>Summary!D18</f>
        <v>0</v>
      </c>
      <c r="N15" s="232"/>
      <c r="O15" s="23">
        <f>Summary!D18</f>
        <v>0</v>
      </c>
      <c r="P15" s="246">
        <f>Summary!D18</f>
        <v>0</v>
      </c>
      <c r="Q15" s="246">
        <f>Summary!D18</f>
        <v>0</v>
      </c>
      <c r="R15" s="232"/>
      <c r="S15" s="23">
        <f>Summary!D18</f>
        <v>0</v>
      </c>
      <c r="T15" s="246">
        <f>Summary!D18</f>
        <v>0</v>
      </c>
      <c r="U15" s="254"/>
      <c r="V15" s="257">
        <f>Summary!D18</f>
        <v>0</v>
      </c>
      <c r="W15" s="246">
        <f>Summary!D18</f>
        <v>0</v>
      </c>
      <c r="X15" s="242"/>
      <c r="Y15" s="397">
        <f>Summary!D18</f>
        <v>0</v>
      </c>
      <c r="Z15" s="384">
        <f>Summary!D18</f>
        <v>0</v>
      </c>
      <c r="AA15" s="16"/>
      <c r="AK15" s="436" t="s">
        <v>41</v>
      </c>
      <c r="AL15" s="397" t="s">
        <v>41</v>
      </c>
      <c r="AM15" s="397" t="s">
        <v>41</v>
      </c>
      <c r="AN15" s="397" t="s">
        <v>41</v>
      </c>
      <c r="AO15" s="397" t="s">
        <v>41</v>
      </c>
      <c r="AP15" s="242"/>
      <c r="AQ15" s="397" t="s">
        <v>41</v>
      </c>
      <c r="AR15" s="441" t="s">
        <v>41</v>
      </c>
      <c r="AS15" s="16"/>
    </row>
    <row r="16" spans="2:47" x14ac:dyDescent="0.25">
      <c r="B16" s="255"/>
      <c r="C16" s="256"/>
      <c r="D16" s="256"/>
      <c r="E16" s="247">
        <f>Summary!D18</f>
        <v>0</v>
      </c>
      <c r="F16" s="247"/>
      <c r="G16" s="258" t="s">
        <v>6</v>
      </c>
      <c r="H16" s="370" t="s">
        <v>87</v>
      </c>
      <c r="I16" s="258" t="s">
        <v>87</v>
      </c>
      <c r="J16" s="258"/>
      <c r="K16" s="377" t="str">
        <f>VLOOKUP(13.5,Languages!A:J,VLOOKUP(Summary!$X$6,Languages!$C$2:$D$10,2,FALSE),FALSE)</f>
        <v>units</v>
      </c>
      <c r="L16" s="385" t="str">
        <f>VLOOKUP("P8.1",Languages!A:J,VLOOKUP(Summary!$X$6,Languages!$C$2:$D$10,2,FALSE),FALSE)</f>
        <v>/hour</v>
      </c>
      <c r="M16" s="244" t="str">
        <f>VLOOKUP(13.3,Languages!A:J,VLOOKUP(Summary!$X$6,Languages!$C$2:$D$10,2,FALSE),FALSE)</f>
        <v>/unit</v>
      </c>
      <c r="N16" s="258" t="str">
        <f>VLOOKUP(13.4,Languages!A:J,VLOOKUP(Summary!$X$6,Languages!$C$2:$D$10,2,FALSE),FALSE)</f>
        <v>unit</v>
      </c>
      <c r="O16" s="244" t="str">
        <f>VLOOKUP("P8.1",Languages!A:J,VLOOKUP(Summary!$X$6,Languages!$C$2:$D$10,2,FALSE),FALSE)</f>
        <v>/hour</v>
      </c>
      <c r="P16" s="244" t="str">
        <f>VLOOKUP(13.3,Languages!A:J,VLOOKUP(Summary!$X$6,Languages!$C$2:$D$10,2,FALSE),FALSE)</f>
        <v>/unit</v>
      </c>
      <c r="Q16" s="253" t="str">
        <f>VLOOKUP(13.3,Languages!A:J,VLOOKUP(Summary!$X$6,Languages!$C$2:$D$10,2,FALSE),FALSE)</f>
        <v>/unit</v>
      </c>
      <c r="R16" s="258"/>
      <c r="S16" s="244" t="str">
        <f>VLOOKUP(13.3,Languages!A:J,VLOOKUP(Summary!$X$6,Languages!$C$2:$D$10,2,FALSE),FALSE)</f>
        <v>/unit</v>
      </c>
      <c r="T16" s="244" t="str">
        <f>VLOOKUP(13.3,Languages!A:J,VLOOKUP(Summary!$X$6,Languages!$C$2:$D$10,2,FALSE),FALSE)</f>
        <v>/unit</v>
      </c>
      <c r="U16" s="247" t="s">
        <v>6</v>
      </c>
      <c r="V16" s="248" t="str">
        <f>VLOOKUP(13.3,Languages!A:J,VLOOKUP(Summary!$X$6,Languages!$C$2:$D$10,2,FALSE),FALSE)</f>
        <v>/unit</v>
      </c>
      <c r="W16" s="247" t="str">
        <f>VLOOKUP(13.3,Languages!A:J,VLOOKUP(Summary!$X$6,Languages!$C$2:$D$10,2,FALSE),FALSE)</f>
        <v>/unit</v>
      </c>
      <c r="X16" s="244" t="s">
        <v>6</v>
      </c>
      <c r="Y16" s="258" t="str">
        <f>VLOOKUP(13.3,Languages!A:J,VLOOKUP(Summary!$X$6,Languages!$C$2:$D$10,2,FALSE),FALSE)</f>
        <v>/unit</v>
      </c>
      <c r="Z16" s="386" t="str">
        <f>VLOOKUP(13.6,Languages!A:J,VLOOKUP(Summary!$X$6,Languages!$C$2:$D$10,2,FALSE),FALSE)</f>
        <v>/quot. Unit</v>
      </c>
      <c r="AA16" s="16"/>
      <c r="AK16" s="442" t="str">
        <f>VLOOKUP("P8.1",Languages!A:J,VLOOKUP(Summary!$X$6,Languages!$C$2:$D$10,2,FALSE),FALSE)</f>
        <v>/hour</v>
      </c>
      <c r="AL16" s="244" t="str">
        <f>VLOOKUP(13.3,Languages!A:J,VLOOKUP(Summary!$X$6,Languages!$C$2:$D$10,2,FALSE),FALSE)</f>
        <v>/unit</v>
      </c>
      <c r="AM16" s="244" t="str">
        <f>VLOOKUP(13.3,Languages!A:J,VLOOKUP(Summary!$X$6,Languages!$C$2:$D$10,2,FALSE),FALSE)</f>
        <v>/unit</v>
      </c>
      <c r="AN16" s="244" t="str">
        <f>VLOOKUP(13.3,Languages!A:J,VLOOKUP(Summary!$X$6,Languages!$C$2:$D$10,2,FALSE),FALSE)</f>
        <v>/unit</v>
      </c>
      <c r="AO16" s="244" t="str">
        <f>VLOOKUP(13.3,Languages!A:J,VLOOKUP(Summary!$X$6,Languages!$C$2:$D$10,2,FALSE),FALSE)</f>
        <v>/unit</v>
      </c>
      <c r="AP16" s="244" t="s">
        <v>6</v>
      </c>
      <c r="AQ16" s="258" t="str">
        <f>VLOOKUP(13.3,Languages!A:J,VLOOKUP(Summary!$X$6,Languages!$C$2:$D$10,2,FALSE),FALSE)</f>
        <v>/unit</v>
      </c>
      <c r="AR16" s="443" t="str">
        <f>VLOOKUP(13.3,Languages!A:J,VLOOKUP(Summary!$X$6,Languages!$C$2:$D$10,2,FALSE),FALSE)</f>
        <v>/unit</v>
      </c>
      <c r="AS16" s="16"/>
    </row>
    <row r="17" spans="1:47" x14ac:dyDescent="0.25">
      <c r="B17" s="316"/>
      <c r="C17" s="312"/>
      <c r="D17" s="328"/>
      <c r="E17" s="330"/>
      <c r="F17" s="330" t="s">
        <v>88</v>
      </c>
      <c r="G17" s="374"/>
      <c r="H17" s="371"/>
      <c r="I17" s="318">
        <f>IF($H$16=Assumptions!$J$6,H17*60,IF($H$16=Assumptions!$J$7,H17*3600,H17))</f>
        <v>0</v>
      </c>
      <c r="J17" s="312"/>
      <c r="K17" s="312"/>
      <c r="L17" s="387"/>
      <c r="M17" s="547">
        <f>IF(J17&gt;0,L17*I17/J17/3600,0)</f>
        <v>0</v>
      </c>
      <c r="N17" s="325"/>
      <c r="O17" s="330"/>
      <c r="P17" s="547">
        <f t="shared" ref="P17:P32" si="0">IF(J17&gt;0,(N17*O17)*I17/J17/3600,0)</f>
        <v>0</v>
      </c>
      <c r="Q17" s="545"/>
      <c r="R17" s="334"/>
      <c r="S17" s="545"/>
      <c r="T17" s="547">
        <f>IF(F17=Assumptions!$I$6,Q17,SUM(M17+P17+Q17+S17))</f>
        <v>0</v>
      </c>
      <c r="U17" s="332"/>
      <c r="V17" s="547">
        <f>T17*U17</f>
        <v>0</v>
      </c>
      <c r="W17" s="545"/>
      <c r="X17" s="287" t="str">
        <f>IF(W17=0,"-",W17/Y17)</f>
        <v>-</v>
      </c>
      <c r="Y17" s="547">
        <f t="shared" ref="Y17:Y32" si="1">SUM(T17+V17+W17)</f>
        <v>0</v>
      </c>
      <c r="Z17" s="571" t="str">
        <f t="shared" ref="Z17:Z32" si="2">IF(Y17=0,"-",Y17*K17)</f>
        <v>-</v>
      </c>
      <c r="AA17" s="573">
        <f t="shared" ref="AA17:AA32" si="3">M17*K17</f>
        <v>0</v>
      </c>
      <c r="AB17" s="573">
        <f t="shared" ref="AB17:AB32" si="4">P17*K17</f>
        <v>0</v>
      </c>
      <c r="AC17" s="573">
        <f>IF(F17=Assumptions!$I$5,Q17*K17,0)</f>
        <v>0</v>
      </c>
      <c r="AD17" s="573">
        <f>IF(F17=Assumptions!$I$6,Q17*K17,0)</f>
        <v>0</v>
      </c>
      <c r="AE17" s="573">
        <f t="shared" ref="AE17:AE32" si="5">S17*K17</f>
        <v>0</v>
      </c>
      <c r="AF17" s="573">
        <f>AA17+AC17+AE17</f>
        <v>0</v>
      </c>
      <c r="AG17" s="573">
        <f t="shared" ref="AG17:AG32" si="6">V17*K17</f>
        <v>0</v>
      </c>
      <c r="AH17" s="573">
        <f t="shared" ref="AH17:AH32" si="7">W17*K17</f>
        <v>0</v>
      </c>
      <c r="AI17" s="572" t="str">
        <f t="shared" ref="AI17:AI32" si="8">$G$14&amp;": "&amp;G17*100&amp;" %"&amp;"    "&amp;$R$14&amp;": "&amp;R17</f>
        <v xml:space="preserve">Utilization ratio (only for info.): 0 %    Manufacturing lot size (only for info.): </v>
      </c>
      <c r="AK17" s="426"/>
      <c r="AL17" s="286">
        <f>IF(J17&gt;0,AK17*I17/J17/3600,0)</f>
        <v>0</v>
      </c>
      <c r="AM17" s="286"/>
      <c r="AN17" s="286">
        <f>IF(F17=Assumptions!$I$6,AM17,AL17)</f>
        <v>0</v>
      </c>
      <c r="AO17" s="330"/>
      <c r="AP17" s="287" t="str">
        <f>IF(AO17=0,"-",AO17/AQ17)</f>
        <v>-</v>
      </c>
      <c r="AQ17" s="286">
        <f>SUM(AN17+AO17)</f>
        <v>0</v>
      </c>
      <c r="AR17" s="582" t="str">
        <f t="shared" ref="AR17:AR32" si="9">IF(AQ17=0,"-",AQ17*K17)</f>
        <v>-</v>
      </c>
      <c r="AS17" s="573">
        <f t="shared" ref="AS17:AS32" si="10">K17*AL17</f>
        <v>0</v>
      </c>
      <c r="AT17" s="573">
        <f t="shared" ref="AT17:AT32" si="11">K17*AM17</f>
        <v>0</v>
      </c>
      <c r="AU17" s="573">
        <f t="shared" ref="AU17:AU32" si="12">K17*AO17</f>
        <v>0</v>
      </c>
    </row>
    <row r="18" spans="1:47" x14ac:dyDescent="0.25">
      <c r="B18" s="316"/>
      <c r="C18" s="312"/>
      <c r="D18" s="328"/>
      <c r="E18" s="330"/>
      <c r="F18" s="330" t="s">
        <v>88</v>
      </c>
      <c r="G18" s="374"/>
      <c r="H18" s="371"/>
      <c r="I18" s="318">
        <f>IF($H$16=Assumptions!$J$6,H18*60,IF($H$16=Assumptions!$J$7,H18*3600,H18))</f>
        <v>0</v>
      </c>
      <c r="J18" s="312"/>
      <c r="K18" s="312"/>
      <c r="L18" s="387"/>
      <c r="M18" s="547">
        <f t="shared" ref="M18:M32" si="13">IF(J18&gt;0,L18*I18/J18/3600,0)</f>
        <v>0</v>
      </c>
      <c r="N18" s="325"/>
      <c r="O18" s="330"/>
      <c r="P18" s="547">
        <f t="shared" si="0"/>
        <v>0</v>
      </c>
      <c r="Q18" s="545"/>
      <c r="R18" s="334"/>
      <c r="S18" s="545"/>
      <c r="T18" s="547">
        <f>IF(F18=Assumptions!$I$6,Q18,SUM(M18+P18+Q18+S18))</f>
        <v>0</v>
      </c>
      <c r="U18" s="332"/>
      <c r="V18" s="547">
        <f t="shared" ref="V18:V32" si="14">T18*U18</f>
        <v>0</v>
      </c>
      <c r="W18" s="545"/>
      <c r="X18" s="287" t="str">
        <f t="shared" ref="X18:X32" si="15">IF(W18=0,"-",W18/Y18)</f>
        <v>-</v>
      </c>
      <c r="Y18" s="547">
        <f t="shared" si="1"/>
        <v>0</v>
      </c>
      <c r="Z18" s="571" t="str">
        <f t="shared" si="2"/>
        <v>-</v>
      </c>
      <c r="AA18" s="573">
        <f t="shared" si="3"/>
        <v>0</v>
      </c>
      <c r="AB18" s="573">
        <f t="shared" si="4"/>
        <v>0</v>
      </c>
      <c r="AC18" s="573">
        <f>IF(F18=Assumptions!$I$5,Q18*K18,0)</f>
        <v>0</v>
      </c>
      <c r="AD18" s="573">
        <f>IF(F18=Assumptions!$I$6,Q18*K18,0)</f>
        <v>0</v>
      </c>
      <c r="AE18" s="573">
        <f t="shared" si="5"/>
        <v>0</v>
      </c>
      <c r="AF18" s="573">
        <f t="shared" ref="AF18:AF32" si="16">AA18+AC18+AE18</f>
        <v>0</v>
      </c>
      <c r="AG18" s="573">
        <f t="shared" si="6"/>
        <v>0</v>
      </c>
      <c r="AH18" s="573">
        <f t="shared" si="7"/>
        <v>0</v>
      </c>
      <c r="AI18" s="572" t="str">
        <f t="shared" si="8"/>
        <v xml:space="preserve">Utilization ratio (only for info.): 0 %    Manufacturing lot size (only for info.): </v>
      </c>
      <c r="AK18" s="426"/>
      <c r="AL18" s="286">
        <f t="shared" ref="AL18:AL32" si="17">IF(J18&gt;0,AK18*I18/J18/3600,0)</f>
        <v>0</v>
      </c>
      <c r="AM18" s="286"/>
      <c r="AN18" s="286">
        <f>IF(F18=Assumptions!$I$6,AM18,AL18)</f>
        <v>0</v>
      </c>
      <c r="AO18" s="330"/>
      <c r="AP18" s="287" t="str">
        <f t="shared" ref="AP18:AP32" si="18">IF(AO18=0,"-",AO18/AQ18)</f>
        <v>-</v>
      </c>
      <c r="AQ18" s="286">
        <f t="shared" ref="AQ18:AQ32" si="19">SUM(AN18+AO18)</f>
        <v>0</v>
      </c>
      <c r="AR18" s="582" t="str">
        <f t="shared" si="9"/>
        <v>-</v>
      </c>
      <c r="AS18" s="573">
        <f t="shared" si="10"/>
        <v>0</v>
      </c>
      <c r="AT18" s="573">
        <f t="shared" si="11"/>
        <v>0</v>
      </c>
      <c r="AU18" s="573">
        <f t="shared" si="12"/>
        <v>0</v>
      </c>
    </row>
    <row r="19" spans="1:47" x14ac:dyDescent="0.25">
      <c r="B19" s="316"/>
      <c r="C19" s="312"/>
      <c r="D19" s="328"/>
      <c r="E19" s="330"/>
      <c r="F19" s="330" t="s">
        <v>88</v>
      </c>
      <c r="G19" s="374"/>
      <c r="H19" s="371"/>
      <c r="I19" s="318">
        <f>IF($H$16=Assumptions!$J$6,H19*60,IF($H$16=Assumptions!$J$7,H19*3600,H19))</f>
        <v>0</v>
      </c>
      <c r="J19" s="312"/>
      <c r="K19" s="312"/>
      <c r="L19" s="387"/>
      <c r="M19" s="547">
        <f t="shared" si="13"/>
        <v>0</v>
      </c>
      <c r="N19" s="325"/>
      <c r="O19" s="330"/>
      <c r="P19" s="547">
        <f t="shared" si="0"/>
        <v>0</v>
      </c>
      <c r="Q19" s="545"/>
      <c r="R19" s="334"/>
      <c r="S19" s="545"/>
      <c r="T19" s="547">
        <f>IF(F19=Assumptions!$I$6,Q19,SUM(M19+P19+Q19+S19))</f>
        <v>0</v>
      </c>
      <c r="U19" s="332"/>
      <c r="V19" s="547">
        <f t="shared" si="14"/>
        <v>0</v>
      </c>
      <c r="W19" s="545"/>
      <c r="X19" s="287" t="str">
        <f t="shared" si="15"/>
        <v>-</v>
      </c>
      <c r="Y19" s="547">
        <f t="shared" si="1"/>
        <v>0</v>
      </c>
      <c r="Z19" s="571" t="str">
        <f t="shared" si="2"/>
        <v>-</v>
      </c>
      <c r="AA19" s="573">
        <f t="shared" si="3"/>
        <v>0</v>
      </c>
      <c r="AB19" s="573">
        <f t="shared" si="4"/>
        <v>0</v>
      </c>
      <c r="AC19" s="573">
        <f>IF(F19=Assumptions!$I$5,Q19*K19,0)</f>
        <v>0</v>
      </c>
      <c r="AD19" s="573">
        <f>IF(F19=Assumptions!$I$6,Q19*K19,0)</f>
        <v>0</v>
      </c>
      <c r="AE19" s="573">
        <f t="shared" si="5"/>
        <v>0</v>
      </c>
      <c r="AF19" s="573">
        <f t="shared" si="16"/>
        <v>0</v>
      </c>
      <c r="AG19" s="573">
        <f t="shared" si="6"/>
        <v>0</v>
      </c>
      <c r="AH19" s="573">
        <f t="shared" si="7"/>
        <v>0</v>
      </c>
      <c r="AI19" s="572" t="str">
        <f t="shared" si="8"/>
        <v xml:space="preserve">Utilization ratio (only for info.): 0 %    Manufacturing lot size (only for info.): </v>
      </c>
      <c r="AK19" s="426"/>
      <c r="AL19" s="286">
        <f t="shared" si="17"/>
        <v>0</v>
      </c>
      <c r="AM19" s="286"/>
      <c r="AN19" s="286">
        <f>IF(F19=Assumptions!$I$6,AM19,AL19)</f>
        <v>0</v>
      </c>
      <c r="AO19" s="330"/>
      <c r="AP19" s="287" t="str">
        <f t="shared" si="18"/>
        <v>-</v>
      </c>
      <c r="AQ19" s="286">
        <f t="shared" si="19"/>
        <v>0</v>
      </c>
      <c r="AR19" s="582" t="str">
        <f t="shared" si="9"/>
        <v>-</v>
      </c>
      <c r="AS19" s="573">
        <f t="shared" si="10"/>
        <v>0</v>
      </c>
      <c r="AT19" s="573">
        <f t="shared" si="11"/>
        <v>0</v>
      </c>
      <c r="AU19" s="573">
        <f t="shared" si="12"/>
        <v>0</v>
      </c>
    </row>
    <row r="20" spans="1:47" x14ac:dyDescent="0.25">
      <c r="B20" s="316"/>
      <c r="C20" s="312"/>
      <c r="D20" s="328"/>
      <c r="E20" s="330"/>
      <c r="F20" s="330" t="s">
        <v>88</v>
      </c>
      <c r="G20" s="374"/>
      <c r="H20" s="371"/>
      <c r="I20" s="318">
        <f>IF($H$16=Assumptions!$J$6,H20*60,IF($H$16=Assumptions!$J$7,H20*3600,H20))</f>
        <v>0</v>
      </c>
      <c r="J20" s="312"/>
      <c r="K20" s="312"/>
      <c r="L20" s="387"/>
      <c r="M20" s="547">
        <f t="shared" si="13"/>
        <v>0</v>
      </c>
      <c r="N20" s="325"/>
      <c r="O20" s="330"/>
      <c r="P20" s="547">
        <f t="shared" si="0"/>
        <v>0</v>
      </c>
      <c r="Q20" s="545"/>
      <c r="R20" s="334"/>
      <c r="S20" s="545"/>
      <c r="T20" s="547">
        <f>IF(F20=Assumptions!$I$6,Q20,SUM(M20+P20+Q20+S20))</f>
        <v>0</v>
      </c>
      <c r="U20" s="332"/>
      <c r="V20" s="547">
        <f t="shared" si="14"/>
        <v>0</v>
      </c>
      <c r="W20" s="545"/>
      <c r="X20" s="287" t="str">
        <f t="shared" si="15"/>
        <v>-</v>
      </c>
      <c r="Y20" s="547">
        <f t="shared" si="1"/>
        <v>0</v>
      </c>
      <c r="Z20" s="571" t="str">
        <f t="shared" si="2"/>
        <v>-</v>
      </c>
      <c r="AA20" s="573">
        <f t="shared" si="3"/>
        <v>0</v>
      </c>
      <c r="AB20" s="573">
        <f t="shared" si="4"/>
        <v>0</v>
      </c>
      <c r="AC20" s="573">
        <f>IF(F20=Assumptions!$I$5,Q20*K20,0)</f>
        <v>0</v>
      </c>
      <c r="AD20" s="573">
        <f>IF(F20=Assumptions!$I$6,Q20*K20,0)</f>
        <v>0</v>
      </c>
      <c r="AE20" s="573">
        <f t="shared" si="5"/>
        <v>0</v>
      </c>
      <c r="AF20" s="573">
        <f t="shared" si="16"/>
        <v>0</v>
      </c>
      <c r="AG20" s="573">
        <f t="shared" si="6"/>
        <v>0</v>
      </c>
      <c r="AH20" s="573">
        <f t="shared" si="7"/>
        <v>0</v>
      </c>
      <c r="AI20" s="572" t="str">
        <f t="shared" si="8"/>
        <v xml:space="preserve">Utilization ratio (only for info.): 0 %    Manufacturing lot size (only for info.): </v>
      </c>
      <c r="AK20" s="426"/>
      <c r="AL20" s="286">
        <f t="shared" si="17"/>
        <v>0</v>
      </c>
      <c r="AM20" s="286"/>
      <c r="AN20" s="286">
        <f>IF(F20=Assumptions!$I$6,AM20,AL20)</f>
        <v>0</v>
      </c>
      <c r="AO20" s="330"/>
      <c r="AP20" s="287" t="str">
        <f t="shared" si="18"/>
        <v>-</v>
      </c>
      <c r="AQ20" s="286">
        <f t="shared" si="19"/>
        <v>0</v>
      </c>
      <c r="AR20" s="582" t="str">
        <f t="shared" si="9"/>
        <v>-</v>
      </c>
      <c r="AS20" s="573">
        <f t="shared" si="10"/>
        <v>0</v>
      </c>
      <c r="AT20" s="573">
        <f t="shared" si="11"/>
        <v>0</v>
      </c>
      <c r="AU20" s="573">
        <f t="shared" si="12"/>
        <v>0</v>
      </c>
    </row>
    <row r="21" spans="1:47" x14ac:dyDescent="0.25">
      <c r="B21" s="316"/>
      <c r="C21" s="312"/>
      <c r="D21" s="328"/>
      <c r="E21" s="330"/>
      <c r="F21" s="330" t="s">
        <v>88</v>
      </c>
      <c r="G21" s="374"/>
      <c r="H21" s="371"/>
      <c r="I21" s="318">
        <f>IF($H$16=Assumptions!$J$6,H21*60,IF($H$16=Assumptions!$J$7,H21*3600,H21))</f>
        <v>0</v>
      </c>
      <c r="J21" s="312"/>
      <c r="K21" s="312"/>
      <c r="L21" s="387"/>
      <c r="M21" s="547">
        <f t="shared" si="13"/>
        <v>0</v>
      </c>
      <c r="N21" s="325"/>
      <c r="O21" s="330"/>
      <c r="P21" s="547">
        <f t="shared" si="0"/>
        <v>0</v>
      </c>
      <c r="Q21" s="545"/>
      <c r="R21" s="334"/>
      <c r="S21" s="545"/>
      <c r="T21" s="547">
        <f>IF(F21=Assumptions!$I$6,Q21,SUM(M21+P21+Q21+S21))</f>
        <v>0</v>
      </c>
      <c r="U21" s="332"/>
      <c r="V21" s="547">
        <f t="shared" si="14"/>
        <v>0</v>
      </c>
      <c r="W21" s="545"/>
      <c r="X21" s="287" t="str">
        <f t="shared" si="15"/>
        <v>-</v>
      </c>
      <c r="Y21" s="547">
        <f t="shared" si="1"/>
        <v>0</v>
      </c>
      <c r="Z21" s="571" t="str">
        <f t="shared" si="2"/>
        <v>-</v>
      </c>
      <c r="AA21" s="573">
        <f t="shared" si="3"/>
        <v>0</v>
      </c>
      <c r="AB21" s="573">
        <f t="shared" si="4"/>
        <v>0</v>
      </c>
      <c r="AC21" s="573">
        <f>IF(F21=Assumptions!$I$5,Q21*K21,0)</f>
        <v>0</v>
      </c>
      <c r="AD21" s="573">
        <f>IF(F21=Assumptions!$I$6,Q21*K21,0)</f>
        <v>0</v>
      </c>
      <c r="AE21" s="573">
        <f t="shared" si="5"/>
        <v>0</v>
      </c>
      <c r="AF21" s="573">
        <f t="shared" si="16"/>
        <v>0</v>
      </c>
      <c r="AG21" s="573">
        <f t="shared" si="6"/>
        <v>0</v>
      </c>
      <c r="AH21" s="573">
        <f t="shared" si="7"/>
        <v>0</v>
      </c>
      <c r="AI21" s="572" t="str">
        <f t="shared" si="8"/>
        <v xml:space="preserve">Utilization ratio (only for info.): 0 %    Manufacturing lot size (only for info.): </v>
      </c>
      <c r="AK21" s="426"/>
      <c r="AL21" s="286">
        <f t="shared" si="17"/>
        <v>0</v>
      </c>
      <c r="AM21" s="286"/>
      <c r="AN21" s="286">
        <f>IF(F21=Assumptions!$I$6,AM21,AL21)</f>
        <v>0</v>
      </c>
      <c r="AO21" s="330"/>
      <c r="AP21" s="287" t="str">
        <f t="shared" si="18"/>
        <v>-</v>
      </c>
      <c r="AQ21" s="286">
        <f t="shared" si="19"/>
        <v>0</v>
      </c>
      <c r="AR21" s="582" t="str">
        <f t="shared" si="9"/>
        <v>-</v>
      </c>
      <c r="AS21" s="573">
        <f t="shared" si="10"/>
        <v>0</v>
      </c>
      <c r="AT21" s="573">
        <f t="shared" si="11"/>
        <v>0</v>
      </c>
      <c r="AU21" s="573">
        <f t="shared" si="12"/>
        <v>0</v>
      </c>
    </row>
    <row r="22" spans="1:47" x14ac:dyDescent="0.25">
      <c r="B22" s="316"/>
      <c r="C22" s="312"/>
      <c r="D22" s="328"/>
      <c r="E22" s="330"/>
      <c r="F22" s="330" t="s">
        <v>88</v>
      </c>
      <c r="G22" s="374"/>
      <c r="H22" s="371"/>
      <c r="I22" s="318">
        <f>IF($H$16=Assumptions!$J$6,H22*60,IF($H$16=Assumptions!$J$7,H22*3600,H22))</f>
        <v>0</v>
      </c>
      <c r="J22" s="312"/>
      <c r="K22" s="312"/>
      <c r="L22" s="387"/>
      <c r="M22" s="547">
        <f t="shared" si="13"/>
        <v>0</v>
      </c>
      <c r="N22" s="325"/>
      <c r="O22" s="330"/>
      <c r="P22" s="547">
        <f t="shared" si="0"/>
        <v>0</v>
      </c>
      <c r="Q22" s="545"/>
      <c r="R22" s="334"/>
      <c r="S22" s="545"/>
      <c r="T22" s="547">
        <f>IF(F22=Assumptions!$I$6,Q22,SUM(M22+P22+Q22+S22))</f>
        <v>0</v>
      </c>
      <c r="U22" s="332"/>
      <c r="V22" s="547">
        <f t="shared" si="14"/>
        <v>0</v>
      </c>
      <c r="W22" s="545"/>
      <c r="X22" s="287" t="str">
        <f t="shared" si="15"/>
        <v>-</v>
      </c>
      <c r="Y22" s="547">
        <f t="shared" si="1"/>
        <v>0</v>
      </c>
      <c r="Z22" s="571" t="str">
        <f t="shared" si="2"/>
        <v>-</v>
      </c>
      <c r="AA22" s="573">
        <f t="shared" si="3"/>
        <v>0</v>
      </c>
      <c r="AB22" s="573">
        <f t="shared" si="4"/>
        <v>0</v>
      </c>
      <c r="AC22" s="573">
        <f>IF(F22=Assumptions!$I$5,Q22*K22,0)</f>
        <v>0</v>
      </c>
      <c r="AD22" s="573">
        <f>IF(F22=Assumptions!$I$6,Q22*K22,0)</f>
        <v>0</v>
      </c>
      <c r="AE22" s="573">
        <f t="shared" si="5"/>
        <v>0</v>
      </c>
      <c r="AF22" s="573">
        <f t="shared" si="16"/>
        <v>0</v>
      </c>
      <c r="AG22" s="573">
        <f t="shared" si="6"/>
        <v>0</v>
      </c>
      <c r="AH22" s="573">
        <f t="shared" si="7"/>
        <v>0</v>
      </c>
      <c r="AI22" s="572" t="str">
        <f t="shared" si="8"/>
        <v xml:space="preserve">Utilization ratio (only for info.): 0 %    Manufacturing lot size (only for info.): </v>
      </c>
      <c r="AK22" s="426"/>
      <c r="AL22" s="286">
        <f t="shared" si="17"/>
        <v>0</v>
      </c>
      <c r="AM22" s="286"/>
      <c r="AN22" s="286">
        <f>IF(F22=Assumptions!$I$6,AM22,AL22)</f>
        <v>0</v>
      </c>
      <c r="AO22" s="330"/>
      <c r="AP22" s="287" t="str">
        <f t="shared" si="18"/>
        <v>-</v>
      </c>
      <c r="AQ22" s="286">
        <f t="shared" si="19"/>
        <v>0</v>
      </c>
      <c r="AR22" s="582" t="str">
        <f t="shared" si="9"/>
        <v>-</v>
      </c>
      <c r="AS22" s="573">
        <f t="shared" si="10"/>
        <v>0</v>
      </c>
      <c r="AT22" s="573">
        <f t="shared" si="11"/>
        <v>0</v>
      </c>
      <c r="AU22" s="573">
        <f t="shared" si="12"/>
        <v>0</v>
      </c>
    </row>
    <row r="23" spans="1:47" x14ac:dyDescent="0.25">
      <c r="B23" s="316"/>
      <c r="C23" s="312"/>
      <c r="D23" s="328"/>
      <c r="E23" s="330"/>
      <c r="F23" s="330" t="s">
        <v>88</v>
      </c>
      <c r="G23" s="374"/>
      <c r="H23" s="371"/>
      <c r="I23" s="318">
        <f>IF($H$16=Assumptions!$J$6,H23*60,IF($H$16=Assumptions!$J$7,H23*3600,H23))</f>
        <v>0</v>
      </c>
      <c r="J23" s="312"/>
      <c r="K23" s="312"/>
      <c r="L23" s="387"/>
      <c r="M23" s="547">
        <f t="shared" si="13"/>
        <v>0</v>
      </c>
      <c r="N23" s="325"/>
      <c r="O23" s="330"/>
      <c r="P23" s="547">
        <f t="shared" si="0"/>
        <v>0</v>
      </c>
      <c r="Q23" s="545"/>
      <c r="R23" s="334"/>
      <c r="S23" s="545"/>
      <c r="T23" s="547">
        <f>IF(F23=Assumptions!$I$6,Q23,SUM(M23+P23+Q23+S23))</f>
        <v>0</v>
      </c>
      <c r="U23" s="332"/>
      <c r="V23" s="547">
        <f t="shared" si="14"/>
        <v>0</v>
      </c>
      <c r="W23" s="545"/>
      <c r="X23" s="287" t="str">
        <f t="shared" si="15"/>
        <v>-</v>
      </c>
      <c r="Y23" s="547">
        <f t="shared" si="1"/>
        <v>0</v>
      </c>
      <c r="Z23" s="571" t="str">
        <f t="shared" si="2"/>
        <v>-</v>
      </c>
      <c r="AA23" s="573">
        <f t="shared" si="3"/>
        <v>0</v>
      </c>
      <c r="AB23" s="573">
        <f t="shared" si="4"/>
        <v>0</v>
      </c>
      <c r="AC23" s="573">
        <f>IF(F23=Assumptions!$I$5,Q23*K23,0)</f>
        <v>0</v>
      </c>
      <c r="AD23" s="573">
        <f>IF(F23=Assumptions!$I$6,Q23*K23,0)</f>
        <v>0</v>
      </c>
      <c r="AE23" s="573">
        <f t="shared" si="5"/>
        <v>0</v>
      </c>
      <c r="AF23" s="573">
        <f t="shared" si="16"/>
        <v>0</v>
      </c>
      <c r="AG23" s="573">
        <f t="shared" si="6"/>
        <v>0</v>
      </c>
      <c r="AH23" s="573">
        <f t="shared" si="7"/>
        <v>0</v>
      </c>
      <c r="AI23" s="572" t="str">
        <f t="shared" si="8"/>
        <v xml:space="preserve">Utilization ratio (only for info.): 0 %    Manufacturing lot size (only for info.): </v>
      </c>
      <c r="AK23" s="426"/>
      <c r="AL23" s="286">
        <f t="shared" si="17"/>
        <v>0</v>
      </c>
      <c r="AM23" s="286"/>
      <c r="AN23" s="286">
        <f>IF(F23=Assumptions!$I$6,AM23,AL23)</f>
        <v>0</v>
      </c>
      <c r="AO23" s="330"/>
      <c r="AP23" s="287" t="str">
        <f t="shared" si="18"/>
        <v>-</v>
      </c>
      <c r="AQ23" s="286">
        <f t="shared" si="19"/>
        <v>0</v>
      </c>
      <c r="AR23" s="582" t="str">
        <f t="shared" si="9"/>
        <v>-</v>
      </c>
      <c r="AS23" s="573">
        <f t="shared" si="10"/>
        <v>0</v>
      </c>
      <c r="AT23" s="573">
        <f t="shared" si="11"/>
        <v>0</v>
      </c>
      <c r="AU23" s="573">
        <f t="shared" si="12"/>
        <v>0</v>
      </c>
    </row>
    <row r="24" spans="1:47" x14ac:dyDescent="0.25">
      <c r="B24" s="316"/>
      <c r="C24" s="312"/>
      <c r="D24" s="328"/>
      <c r="E24" s="330"/>
      <c r="F24" s="330" t="s">
        <v>88</v>
      </c>
      <c r="G24" s="374"/>
      <c r="H24" s="371"/>
      <c r="I24" s="318">
        <f>IF($H$16=Assumptions!$J$6,H24*60,IF($H$16=Assumptions!$J$7,H24*3600,H24))</f>
        <v>0</v>
      </c>
      <c r="J24" s="312"/>
      <c r="K24" s="312"/>
      <c r="L24" s="387"/>
      <c r="M24" s="547">
        <f t="shared" si="13"/>
        <v>0</v>
      </c>
      <c r="N24" s="325"/>
      <c r="O24" s="330"/>
      <c r="P24" s="547">
        <f t="shared" si="0"/>
        <v>0</v>
      </c>
      <c r="Q24" s="545"/>
      <c r="R24" s="334"/>
      <c r="S24" s="545"/>
      <c r="T24" s="547">
        <f>IF(F24=Assumptions!$I$6,Q24,SUM(M24+P24+Q24+S24))</f>
        <v>0</v>
      </c>
      <c r="U24" s="332"/>
      <c r="V24" s="547">
        <f t="shared" si="14"/>
        <v>0</v>
      </c>
      <c r="W24" s="545"/>
      <c r="X24" s="287" t="str">
        <f t="shared" si="15"/>
        <v>-</v>
      </c>
      <c r="Y24" s="547">
        <f t="shared" si="1"/>
        <v>0</v>
      </c>
      <c r="Z24" s="571" t="str">
        <f t="shared" si="2"/>
        <v>-</v>
      </c>
      <c r="AA24" s="573">
        <f t="shared" si="3"/>
        <v>0</v>
      </c>
      <c r="AB24" s="573">
        <f t="shared" si="4"/>
        <v>0</v>
      </c>
      <c r="AC24" s="573">
        <f>IF(F24=Assumptions!$I$5,Q24*K24,0)</f>
        <v>0</v>
      </c>
      <c r="AD24" s="573">
        <f>IF(F24=Assumptions!$I$6,Q24*K24,0)</f>
        <v>0</v>
      </c>
      <c r="AE24" s="573">
        <f t="shared" si="5"/>
        <v>0</v>
      </c>
      <c r="AF24" s="573">
        <f t="shared" si="16"/>
        <v>0</v>
      </c>
      <c r="AG24" s="573">
        <f t="shared" si="6"/>
        <v>0</v>
      </c>
      <c r="AH24" s="573">
        <f t="shared" si="7"/>
        <v>0</v>
      </c>
      <c r="AI24" s="572" t="str">
        <f t="shared" si="8"/>
        <v xml:space="preserve">Utilization ratio (only for info.): 0 %    Manufacturing lot size (only for info.): </v>
      </c>
      <c r="AK24" s="426"/>
      <c r="AL24" s="286">
        <f t="shared" si="17"/>
        <v>0</v>
      </c>
      <c r="AM24" s="286"/>
      <c r="AN24" s="286">
        <f>IF(F24=Assumptions!$I$6,AM24,AL24)</f>
        <v>0</v>
      </c>
      <c r="AO24" s="330"/>
      <c r="AP24" s="287" t="str">
        <f t="shared" si="18"/>
        <v>-</v>
      </c>
      <c r="AQ24" s="286">
        <f t="shared" si="19"/>
        <v>0</v>
      </c>
      <c r="AR24" s="582" t="str">
        <f t="shared" si="9"/>
        <v>-</v>
      </c>
      <c r="AS24" s="573">
        <f t="shared" si="10"/>
        <v>0</v>
      </c>
      <c r="AT24" s="573">
        <f t="shared" si="11"/>
        <v>0</v>
      </c>
      <c r="AU24" s="573">
        <f t="shared" si="12"/>
        <v>0</v>
      </c>
    </row>
    <row r="25" spans="1:47" x14ac:dyDescent="0.25">
      <c r="B25" s="316"/>
      <c r="C25" s="312"/>
      <c r="D25" s="328"/>
      <c r="E25" s="330"/>
      <c r="F25" s="330" t="s">
        <v>88</v>
      </c>
      <c r="G25" s="374"/>
      <c r="H25" s="371"/>
      <c r="I25" s="318">
        <f>IF($H$16=Assumptions!$J$6,H25*60,IF($H$16=Assumptions!$J$7,H25*3600,H25))</f>
        <v>0</v>
      </c>
      <c r="J25" s="312"/>
      <c r="K25" s="312"/>
      <c r="L25" s="387"/>
      <c r="M25" s="547">
        <f t="shared" si="13"/>
        <v>0</v>
      </c>
      <c r="N25" s="325"/>
      <c r="O25" s="330"/>
      <c r="P25" s="547">
        <f t="shared" si="0"/>
        <v>0</v>
      </c>
      <c r="Q25" s="545"/>
      <c r="R25" s="334"/>
      <c r="S25" s="545"/>
      <c r="T25" s="547">
        <f>IF(F25=Assumptions!$I$6,Q25,SUM(M25+P25+Q25+S25))</f>
        <v>0</v>
      </c>
      <c r="U25" s="332"/>
      <c r="V25" s="547">
        <f t="shared" si="14"/>
        <v>0</v>
      </c>
      <c r="W25" s="545"/>
      <c r="X25" s="287" t="str">
        <f t="shared" si="15"/>
        <v>-</v>
      </c>
      <c r="Y25" s="547">
        <f t="shared" si="1"/>
        <v>0</v>
      </c>
      <c r="Z25" s="571" t="str">
        <f t="shared" si="2"/>
        <v>-</v>
      </c>
      <c r="AA25" s="573">
        <f t="shared" si="3"/>
        <v>0</v>
      </c>
      <c r="AB25" s="573">
        <f t="shared" si="4"/>
        <v>0</v>
      </c>
      <c r="AC25" s="573">
        <f>IF(F25=Assumptions!$I$5,Q25*K25,0)</f>
        <v>0</v>
      </c>
      <c r="AD25" s="573">
        <f>IF(F25=Assumptions!$I$6,Q25*K25,0)</f>
        <v>0</v>
      </c>
      <c r="AE25" s="573">
        <f t="shared" si="5"/>
        <v>0</v>
      </c>
      <c r="AF25" s="573">
        <f t="shared" si="16"/>
        <v>0</v>
      </c>
      <c r="AG25" s="573">
        <f t="shared" si="6"/>
        <v>0</v>
      </c>
      <c r="AH25" s="573">
        <f t="shared" si="7"/>
        <v>0</v>
      </c>
      <c r="AI25" s="572" t="str">
        <f t="shared" si="8"/>
        <v xml:space="preserve">Utilization ratio (only for info.): 0 %    Manufacturing lot size (only for info.): </v>
      </c>
      <c r="AK25" s="426"/>
      <c r="AL25" s="286">
        <f t="shared" si="17"/>
        <v>0</v>
      </c>
      <c r="AM25" s="286"/>
      <c r="AN25" s="286">
        <f>IF(F25=Assumptions!$I$6,AM25,AL25)</f>
        <v>0</v>
      </c>
      <c r="AO25" s="330"/>
      <c r="AP25" s="287" t="str">
        <f t="shared" si="18"/>
        <v>-</v>
      </c>
      <c r="AQ25" s="286">
        <f t="shared" si="19"/>
        <v>0</v>
      </c>
      <c r="AR25" s="582" t="str">
        <f t="shared" si="9"/>
        <v>-</v>
      </c>
      <c r="AS25" s="573">
        <f t="shared" si="10"/>
        <v>0</v>
      </c>
      <c r="AT25" s="573">
        <f t="shared" si="11"/>
        <v>0</v>
      </c>
      <c r="AU25" s="573">
        <f t="shared" si="12"/>
        <v>0</v>
      </c>
    </row>
    <row r="26" spans="1:47" x14ac:dyDescent="0.25">
      <c r="B26" s="316"/>
      <c r="C26" s="312"/>
      <c r="D26" s="328"/>
      <c r="E26" s="330"/>
      <c r="F26" s="330" t="s">
        <v>88</v>
      </c>
      <c r="G26" s="374"/>
      <c r="H26" s="371"/>
      <c r="I26" s="318">
        <f>IF($H$16=Assumptions!$J$6,H26*60,IF($H$16=Assumptions!$J$7,H26*3600,H26))</f>
        <v>0</v>
      </c>
      <c r="J26" s="312"/>
      <c r="K26" s="312"/>
      <c r="L26" s="387"/>
      <c r="M26" s="547">
        <f t="shared" si="13"/>
        <v>0</v>
      </c>
      <c r="N26" s="325"/>
      <c r="O26" s="330"/>
      <c r="P26" s="547">
        <f t="shared" si="0"/>
        <v>0</v>
      </c>
      <c r="Q26" s="545"/>
      <c r="R26" s="334"/>
      <c r="S26" s="545"/>
      <c r="T26" s="547">
        <f>IF(F26=Assumptions!$I$6,Q26,SUM(M26+P26+Q26+S26))</f>
        <v>0</v>
      </c>
      <c r="U26" s="332"/>
      <c r="V26" s="547">
        <f t="shared" si="14"/>
        <v>0</v>
      </c>
      <c r="W26" s="545"/>
      <c r="X26" s="287" t="str">
        <f t="shared" si="15"/>
        <v>-</v>
      </c>
      <c r="Y26" s="547">
        <f t="shared" si="1"/>
        <v>0</v>
      </c>
      <c r="Z26" s="571" t="str">
        <f t="shared" si="2"/>
        <v>-</v>
      </c>
      <c r="AA26" s="573">
        <f t="shared" si="3"/>
        <v>0</v>
      </c>
      <c r="AB26" s="573">
        <f t="shared" si="4"/>
        <v>0</v>
      </c>
      <c r="AC26" s="573">
        <f>IF(F26=Assumptions!$I$5,Q26*K26,0)</f>
        <v>0</v>
      </c>
      <c r="AD26" s="573">
        <f>IF(F26=Assumptions!$I$6,Q26*K26,0)</f>
        <v>0</v>
      </c>
      <c r="AE26" s="573">
        <f t="shared" si="5"/>
        <v>0</v>
      </c>
      <c r="AF26" s="573">
        <f t="shared" si="16"/>
        <v>0</v>
      </c>
      <c r="AG26" s="573">
        <f t="shared" si="6"/>
        <v>0</v>
      </c>
      <c r="AH26" s="573">
        <f t="shared" si="7"/>
        <v>0</v>
      </c>
      <c r="AI26" s="572" t="str">
        <f t="shared" si="8"/>
        <v xml:space="preserve">Utilization ratio (only for info.): 0 %    Manufacturing lot size (only for info.): </v>
      </c>
      <c r="AK26" s="426"/>
      <c r="AL26" s="286">
        <f t="shared" si="17"/>
        <v>0</v>
      </c>
      <c r="AM26" s="286"/>
      <c r="AN26" s="286">
        <f>IF(F26=Assumptions!$I$6,AM26,AL26)</f>
        <v>0</v>
      </c>
      <c r="AO26" s="330"/>
      <c r="AP26" s="287" t="str">
        <f t="shared" si="18"/>
        <v>-</v>
      </c>
      <c r="AQ26" s="286">
        <f t="shared" si="19"/>
        <v>0</v>
      </c>
      <c r="AR26" s="582" t="str">
        <f t="shared" si="9"/>
        <v>-</v>
      </c>
      <c r="AS26" s="573">
        <f t="shared" si="10"/>
        <v>0</v>
      </c>
      <c r="AT26" s="573">
        <f t="shared" si="11"/>
        <v>0</v>
      </c>
      <c r="AU26" s="573">
        <f t="shared" si="12"/>
        <v>0</v>
      </c>
    </row>
    <row r="27" spans="1:47" x14ac:dyDescent="0.25">
      <c r="B27" s="316"/>
      <c r="C27" s="312"/>
      <c r="D27" s="328"/>
      <c r="E27" s="330"/>
      <c r="F27" s="330" t="s">
        <v>88</v>
      </c>
      <c r="G27" s="374"/>
      <c r="H27" s="371"/>
      <c r="I27" s="318">
        <f>IF($H$16=Assumptions!$J$6,H27*60,IF($H$16=Assumptions!$J$7,H27*3600,H27))</f>
        <v>0</v>
      </c>
      <c r="J27" s="312"/>
      <c r="K27" s="312"/>
      <c r="L27" s="387"/>
      <c r="M27" s="547">
        <f t="shared" si="13"/>
        <v>0</v>
      </c>
      <c r="N27" s="325"/>
      <c r="O27" s="330"/>
      <c r="P27" s="547">
        <f t="shared" si="0"/>
        <v>0</v>
      </c>
      <c r="Q27" s="545"/>
      <c r="R27" s="334"/>
      <c r="S27" s="545"/>
      <c r="T27" s="547">
        <f>IF(F27=Assumptions!$I$6,Q27,SUM(M27+P27+Q27+S27))</f>
        <v>0</v>
      </c>
      <c r="U27" s="332"/>
      <c r="V27" s="547">
        <f t="shared" si="14"/>
        <v>0</v>
      </c>
      <c r="W27" s="545"/>
      <c r="X27" s="287" t="str">
        <f t="shared" si="15"/>
        <v>-</v>
      </c>
      <c r="Y27" s="547">
        <f t="shared" si="1"/>
        <v>0</v>
      </c>
      <c r="Z27" s="571" t="str">
        <f t="shared" si="2"/>
        <v>-</v>
      </c>
      <c r="AA27" s="573">
        <f t="shared" si="3"/>
        <v>0</v>
      </c>
      <c r="AB27" s="573">
        <f t="shared" si="4"/>
        <v>0</v>
      </c>
      <c r="AC27" s="573">
        <f>IF(F27=Assumptions!$I$5,Q27*K27,0)</f>
        <v>0</v>
      </c>
      <c r="AD27" s="573">
        <f>IF(F27=Assumptions!$I$6,Q27*K27,0)</f>
        <v>0</v>
      </c>
      <c r="AE27" s="573">
        <f t="shared" si="5"/>
        <v>0</v>
      </c>
      <c r="AF27" s="573">
        <f t="shared" si="16"/>
        <v>0</v>
      </c>
      <c r="AG27" s="573">
        <f t="shared" si="6"/>
        <v>0</v>
      </c>
      <c r="AH27" s="573">
        <f t="shared" si="7"/>
        <v>0</v>
      </c>
      <c r="AI27" s="572" t="str">
        <f t="shared" si="8"/>
        <v xml:space="preserve">Utilization ratio (only for info.): 0 %    Manufacturing lot size (only for info.): </v>
      </c>
      <c r="AK27" s="426"/>
      <c r="AL27" s="286">
        <f t="shared" si="17"/>
        <v>0</v>
      </c>
      <c r="AM27" s="286"/>
      <c r="AN27" s="286">
        <f>IF(F27=Assumptions!$I$6,AM27,AL27)</f>
        <v>0</v>
      </c>
      <c r="AO27" s="330"/>
      <c r="AP27" s="287" t="str">
        <f t="shared" si="18"/>
        <v>-</v>
      </c>
      <c r="AQ27" s="286">
        <f t="shared" si="19"/>
        <v>0</v>
      </c>
      <c r="AR27" s="582" t="str">
        <f t="shared" si="9"/>
        <v>-</v>
      </c>
      <c r="AS27" s="573">
        <f t="shared" si="10"/>
        <v>0</v>
      </c>
      <c r="AT27" s="573">
        <f t="shared" si="11"/>
        <v>0</v>
      </c>
      <c r="AU27" s="573">
        <f t="shared" si="12"/>
        <v>0</v>
      </c>
    </row>
    <row r="28" spans="1:47" x14ac:dyDescent="0.25">
      <c r="B28" s="316"/>
      <c r="C28" s="312"/>
      <c r="D28" s="328"/>
      <c r="E28" s="330"/>
      <c r="F28" s="330" t="s">
        <v>88</v>
      </c>
      <c r="G28" s="374"/>
      <c r="H28" s="371"/>
      <c r="I28" s="318">
        <f>IF($H$16=Assumptions!$J$6,H28*60,IF($H$16=Assumptions!$J$7,H28*3600,H28))</f>
        <v>0</v>
      </c>
      <c r="J28" s="312"/>
      <c r="K28" s="312"/>
      <c r="L28" s="387"/>
      <c r="M28" s="547">
        <f t="shared" si="13"/>
        <v>0</v>
      </c>
      <c r="N28" s="325"/>
      <c r="O28" s="330"/>
      <c r="P28" s="547">
        <f t="shared" si="0"/>
        <v>0</v>
      </c>
      <c r="Q28" s="545"/>
      <c r="R28" s="334"/>
      <c r="S28" s="545"/>
      <c r="T28" s="547">
        <f>IF(F28=Assumptions!$I$6,Q28,SUM(M28+P28+Q28+S28))</f>
        <v>0</v>
      </c>
      <c r="U28" s="332"/>
      <c r="V28" s="547">
        <f t="shared" si="14"/>
        <v>0</v>
      </c>
      <c r="W28" s="545"/>
      <c r="X28" s="287" t="str">
        <f t="shared" si="15"/>
        <v>-</v>
      </c>
      <c r="Y28" s="547">
        <f t="shared" si="1"/>
        <v>0</v>
      </c>
      <c r="Z28" s="571" t="str">
        <f t="shared" si="2"/>
        <v>-</v>
      </c>
      <c r="AA28" s="573">
        <f t="shared" si="3"/>
        <v>0</v>
      </c>
      <c r="AB28" s="573">
        <f t="shared" si="4"/>
        <v>0</v>
      </c>
      <c r="AC28" s="573">
        <f>IF(F28=Assumptions!$I$5,Q28*K28,0)</f>
        <v>0</v>
      </c>
      <c r="AD28" s="573">
        <f>IF(F28=Assumptions!$I$6,Q28*K28,0)</f>
        <v>0</v>
      </c>
      <c r="AE28" s="573">
        <f t="shared" si="5"/>
        <v>0</v>
      </c>
      <c r="AF28" s="573">
        <f t="shared" si="16"/>
        <v>0</v>
      </c>
      <c r="AG28" s="573">
        <f t="shared" si="6"/>
        <v>0</v>
      </c>
      <c r="AH28" s="573">
        <f t="shared" si="7"/>
        <v>0</v>
      </c>
      <c r="AI28" s="572" t="str">
        <f t="shared" si="8"/>
        <v xml:space="preserve">Utilization ratio (only for info.): 0 %    Manufacturing lot size (only for info.): </v>
      </c>
      <c r="AK28" s="426"/>
      <c r="AL28" s="286">
        <f t="shared" si="17"/>
        <v>0</v>
      </c>
      <c r="AM28" s="286"/>
      <c r="AN28" s="286">
        <f>IF(F28=Assumptions!$I$6,AM28,AL28)</f>
        <v>0</v>
      </c>
      <c r="AO28" s="330"/>
      <c r="AP28" s="287" t="str">
        <f t="shared" si="18"/>
        <v>-</v>
      </c>
      <c r="AQ28" s="286">
        <f t="shared" si="19"/>
        <v>0</v>
      </c>
      <c r="AR28" s="582" t="str">
        <f t="shared" si="9"/>
        <v>-</v>
      </c>
      <c r="AS28" s="573">
        <f t="shared" si="10"/>
        <v>0</v>
      </c>
      <c r="AT28" s="573">
        <f t="shared" si="11"/>
        <v>0</v>
      </c>
      <c r="AU28" s="573">
        <f t="shared" si="12"/>
        <v>0</v>
      </c>
    </row>
    <row r="29" spans="1:47" x14ac:dyDescent="0.25">
      <c r="B29" s="316"/>
      <c r="C29" s="312"/>
      <c r="D29" s="328"/>
      <c r="E29" s="330"/>
      <c r="F29" s="330" t="s">
        <v>88</v>
      </c>
      <c r="G29" s="374"/>
      <c r="H29" s="371"/>
      <c r="I29" s="318">
        <f>IF($H$16=Assumptions!$J$6,H29*60,IF($H$16=Assumptions!$J$7,H29*3600,H29))</f>
        <v>0</v>
      </c>
      <c r="J29" s="312"/>
      <c r="K29" s="312"/>
      <c r="L29" s="387"/>
      <c r="M29" s="547">
        <f t="shared" si="13"/>
        <v>0</v>
      </c>
      <c r="N29" s="325"/>
      <c r="O29" s="330"/>
      <c r="P29" s="547">
        <f t="shared" si="0"/>
        <v>0</v>
      </c>
      <c r="Q29" s="545"/>
      <c r="R29" s="334"/>
      <c r="S29" s="545"/>
      <c r="T29" s="547">
        <f>IF(F29=Assumptions!$I$6,Q29,SUM(M29+P29+Q29+S29))</f>
        <v>0</v>
      </c>
      <c r="U29" s="332"/>
      <c r="V29" s="547">
        <f t="shared" si="14"/>
        <v>0</v>
      </c>
      <c r="W29" s="545"/>
      <c r="X29" s="287" t="str">
        <f t="shared" si="15"/>
        <v>-</v>
      </c>
      <c r="Y29" s="547">
        <f t="shared" si="1"/>
        <v>0</v>
      </c>
      <c r="Z29" s="571" t="str">
        <f t="shared" si="2"/>
        <v>-</v>
      </c>
      <c r="AA29" s="573">
        <f t="shared" si="3"/>
        <v>0</v>
      </c>
      <c r="AB29" s="573">
        <f t="shared" si="4"/>
        <v>0</v>
      </c>
      <c r="AC29" s="573">
        <f>IF(F29=Assumptions!$I$5,Q29*K29,0)</f>
        <v>0</v>
      </c>
      <c r="AD29" s="573">
        <f>IF(F29=Assumptions!$I$6,Q29*K29,0)</f>
        <v>0</v>
      </c>
      <c r="AE29" s="573">
        <f t="shared" si="5"/>
        <v>0</v>
      </c>
      <c r="AF29" s="573">
        <f t="shared" si="16"/>
        <v>0</v>
      </c>
      <c r="AG29" s="573">
        <f t="shared" si="6"/>
        <v>0</v>
      </c>
      <c r="AH29" s="573">
        <f t="shared" si="7"/>
        <v>0</v>
      </c>
      <c r="AI29" s="572" t="str">
        <f t="shared" si="8"/>
        <v xml:space="preserve">Utilization ratio (only for info.): 0 %    Manufacturing lot size (only for info.): </v>
      </c>
      <c r="AK29" s="426"/>
      <c r="AL29" s="286">
        <f t="shared" si="17"/>
        <v>0</v>
      </c>
      <c r="AM29" s="286"/>
      <c r="AN29" s="286">
        <f>IF(F29=Assumptions!$I$6,AM29,AL29)</f>
        <v>0</v>
      </c>
      <c r="AO29" s="330"/>
      <c r="AP29" s="287" t="str">
        <f t="shared" si="18"/>
        <v>-</v>
      </c>
      <c r="AQ29" s="286">
        <f t="shared" si="19"/>
        <v>0</v>
      </c>
      <c r="AR29" s="582" t="str">
        <f t="shared" si="9"/>
        <v>-</v>
      </c>
      <c r="AS29" s="573">
        <f t="shared" si="10"/>
        <v>0</v>
      </c>
      <c r="AT29" s="573">
        <f t="shared" si="11"/>
        <v>0</v>
      </c>
      <c r="AU29" s="573">
        <f t="shared" si="12"/>
        <v>0</v>
      </c>
    </row>
    <row r="30" spans="1:47" x14ac:dyDescent="0.25">
      <c r="B30" s="316"/>
      <c r="C30" s="312"/>
      <c r="D30" s="328"/>
      <c r="E30" s="330"/>
      <c r="F30" s="330" t="s">
        <v>88</v>
      </c>
      <c r="G30" s="374"/>
      <c r="H30" s="371"/>
      <c r="I30" s="318">
        <f>IF($H$16=Assumptions!$J$6,H30*60,IF($H$16=Assumptions!$J$7,H30*3600,H30))</f>
        <v>0</v>
      </c>
      <c r="J30" s="312"/>
      <c r="K30" s="312"/>
      <c r="L30" s="387"/>
      <c r="M30" s="547">
        <f t="shared" si="13"/>
        <v>0</v>
      </c>
      <c r="N30" s="325"/>
      <c r="O30" s="330"/>
      <c r="P30" s="547">
        <f t="shared" si="0"/>
        <v>0</v>
      </c>
      <c r="Q30" s="545"/>
      <c r="R30" s="334"/>
      <c r="S30" s="545"/>
      <c r="T30" s="547">
        <f>IF(F30=Assumptions!$I$6,Q30,SUM(M30+P30+Q30+S30))</f>
        <v>0</v>
      </c>
      <c r="U30" s="332"/>
      <c r="V30" s="547">
        <f t="shared" si="14"/>
        <v>0</v>
      </c>
      <c r="W30" s="545"/>
      <c r="X30" s="287" t="str">
        <f t="shared" si="15"/>
        <v>-</v>
      </c>
      <c r="Y30" s="547">
        <f t="shared" si="1"/>
        <v>0</v>
      </c>
      <c r="Z30" s="571" t="str">
        <f t="shared" si="2"/>
        <v>-</v>
      </c>
      <c r="AA30" s="573">
        <f t="shared" si="3"/>
        <v>0</v>
      </c>
      <c r="AB30" s="573">
        <f t="shared" si="4"/>
        <v>0</v>
      </c>
      <c r="AC30" s="573">
        <f>IF(F30=Assumptions!$I$5,Q30*K30,0)</f>
        <v>0</v>
      </c>
      <c r="AD30" s="573">
        <f>IF(F30=Assumptions!$I$6,Q30*K30,0)</f>
        <v>0</v>
      </c>
      <c r="AE30" s="573">
        <f t="shared" si="5"/>
        <v>0</v>
      </c>
      <c r="AF30" s="573">
        <f t="shared" si="16"/>
        <v>0</v>
      </c>
      <c r="AG30" s="573">
        <f t="shared" si="6"/>
        <v>0</v>
      </c>
      <c r="AH30" s="573">
        <f t="shared" si="7"/>
        <v>0</v>
      </c>
      <c r="AI30" s="572" t="str">
        <f t="shared" si="8"/>
        <v xml:space="preserve">Utilization ratio (only for info.): 0 %    Manufacturing lot size (only for info.): </v>
      </c>
      <c r="AK30" s="426"/>
      <c r="AL30" s="286">
        <f t="shared" si="17"/>
        <v>0</v>
      </c>
      <c r="AM30" s="286"/>
      <c r="AN30" s="286">
        <f>IF(F30=Assumptions!$I$6,AM30,AL30)</f>
        <v>0</v>
      </c>
      <c r="AO30" s="330"/>
      <c r="AP30" s="287" t="str">
        <f t="shared" si="18"/>
        <v>-</v>
      </c>
      <c r="AQ30" s="286">
        <f t="shared" si="19"/>
        <v>0</v>
      </c>
      <c r="AR30" s="582" t="str">
        <f t="shared" si="9"/>
        <v>-</v>
      </c>
      <c r="AS30" s="573">
        <f t="shared" si="10"/>
        <v>0</v>
      </c>
      <c r="AT30" s="573">
        <f t="shared" si="11"/>
        <v>0</v>
      </c>
      <c r="AU30" s="573">
        <f t="shared" si="12"/>
        <v>0</v>
      </c>
    </row>
    <row r="31" spans="1:47" x14ac:dyDescent="0.25">
      <c r="B31" s="316"/>
      <c r="C31" s="312"/>
      <c r="D31" s="328"/>
      <c r="E31" s="330"/>
      <c r="F31" s="330" t="s">
        <v>88</v>
      </c>
      <c r="G31" s="374"/>
      <c r="H31" s="371"/>
      <c r="I31" s="318">
        <f>IF($H$16=Assumptions!$J$6,H31*60,IF($H$16=Assumptions!$J$7,H31*3600,H31))</f>
        <v>0</v>
      </c>
      <c r="J31" s="312"/>
      <c r="K31" s="312"/>
      <c r="L31" s="387"/>
      <c r="M31" s="547">
        <f t="shared" si="13"/>
        <v>0</v>
      </c>
      <c r="N31" s="325"/>
      <c r="O31" s="330"/>
      <c r="P31" s="547">
        <f t="shared" si="0"/>
        <v>0</v>
      </c>
      <c r="Q31" s="545"/>
      <c r="R31" s="334"/>
      <c r="S31" s="545"/>
      <c r="T31" s="547">
        <f>IF(F31=Assumptions!$I$6,Q31,SUM(M31+P31+Q31+S31))</f>
        <v>0</v>
      </c>
      <c r="U31" s="332"/>
      <c r="V31" s="547">
        <f t="shared" si="14"/>
        <v>0</v>
      </c>
      <c r="W31" s="545"/>
      <c r="X31" s="287" t="str">
        <f t="shared" si="15"/>
        <v>-</v>
      </c>
      <c r="Y31" s="547">
        <f t="shared" si="1"/>
        <v>0</v>
      </c>
      <c r="Z31" s="571" t="str">
        <f t="shared" si="2"/>
        <v>-</v>
      </c>
      <c r="AA31" s="573">
        <f t="shared" si="3"/>
        <v>0</v>
      </c>
      <c r="AB31" s="573">
        <f t="shared" si="4"/>
        <v>0</v>
      </c>
      <c r="AC31" s="573">
        <f>IF(F31=Assumptions!$I$5,Q31*K31,0)</f>
        <v>0</v>
      </c>
      <c r="AD31" s="573">
        <f>IF(F31=Assumptions!$I$6,Q31*K31,0)</f>
        <v>0</v>
      </c>
      <c r="AE31" s="573">
        <f t="shared" si="5"/>
        <v>0</v>
      </c>
      <c r="AF31" s="573">
        <f t="shared" si="16"/>
        <v>0</v>
      </c>
      <c r="AG31" s="573">
        <f t="shared" si="6"/>
        <v>0</v>
      </c>
      <c r="AH31" s="573">
        <f t="shared" si="7"/>
        <v>0</v>
      </c>
      <c r="AI31" s="572" t="str">
        <f t="shared" si="8"/>
        <v xml:space="preserve">Utilization ratio (only for info.): 0 %    Manufacturing lot size (only for info.): </v>
      </c>
      <c r="AK31" s="426"/>
      <c r="AL31" s="286">
        <f t="shared" si="17"/>
        <v>0</v>
      </c>
      <c r="AM31" s="286"/>
      <c r="AN31" s="286">
        <f>IF(F31=Assumptions!$I$6,AM31,AL31)</f>
        <v>0</v>
      </c>
      <c r="AO31" s="330"/>
      <c r="AP31" s="287" t="str">
        <f t="shared" si="18"/>
        <v>-</v>
      </c>
      <c r="AQ31" s="286">
        <f t="shared" si="19"/>
        <v>0</v>
      </c>
      <c r="AR31" s="582" t="str">
        <f t="shared" si="9"/>
        <v>-</v>
      </c>
      <c r="AS31" s="573">
        <f t="shared" si="10"/>
        <v>0</v>
      </c>
      <c r="AT31" s="573">
        <f t="shared" si="11"/>
        <v>0</v>
      </c>
      <c r="AU31" s="573">
        <f t="shared" si="12"/>
        <v>0</v>
      </c>
    </row>
    <row r="32" spans="1:47" ht="15.75" thickBot="1" x14ac:dyDescent="0.3">
      <c r="A32"/>
      <c r="B32" s="317"/>
      <c r="C32" s="314"/>
      <c r="D32" s="329"/>
      <c r="E32" s="331"/>
      <c r="F32" s="333" t="s">
        <v>88</v>
      </c>
      <c r="G32" s="375"/>
      <c r="H32" s="372"/>
      <c r="I32" s="314">
        <f>IF($H$16=Assumptions!$J$6,H32*60,IF($H$16=Assumptions!$J$7,H32*3600,H32))</f>
        <v>0</v>
      </c>
      <c r="J32" s="314"/>
      <c r="K32" s="314"/>
      <c r="L32" s="388"/>
      <c r="M32" s="548">
        <f t="shared" si="13"/>
        <v>0</v>
      </c>
      <c r="N32" s="389"/>
      <c r="O32" s="348"/>
      <c r="P32" s="548">
        <f t="shared" si="0"/>
        <v>0</v>
      </c>
      <c r="Q32" s="546"/>
      <c r="R32" s="390"/>
      <c r="S32" s="546"/>
      <c r="T32" s="548">
        <f>IF(F32=Assumptions!$I$6,Q32,SUM(M32+P32+Q32+S32))</f>
        <v>0</v>
      </c>
      <c r="U32" s="349"/>
      <c r="V32" s="548">
        <f t="shared" si="14"/>
        <v>0</v>
      </c>
      <c r="W32" s="546">
        <f>0%*(T32+V32+0%*(T32+V32))</f>
        <v>0</v>
      </c>
      <c r="X32" s="350" t="str">
        <f t="shared" si="15"/>
        <v>-</v>
      </c>
      <c r="Y32" s="548">
        <f t="shared" si="1"/>
        <v>0</v>
      </c>
      <c r="Z32" s="583" t="str">
        <f t="shared" si="2"/>
        <v>-</v>
      </c>
      <c r="AA32" s="573">
        <f t="shared" si="3"/>
        <v>0</v>
      </c>
      <c r="AB32" s="573">
        <f t="shared" si="4"/>
        <v>0</v>
      </c>
      <c r="AC32" s="573">
        <f>IF(F32=Assumptions!$I$5,Q32*K32,0)</f>
        <v>0</v>
      </c>
      <c r="AD32" s="573">
        <f>IF(F32=Assumptions!$I$6,Q32*K32,0)</f>
        <v>0</v>
      </c>
      <c r="AE32" s="573">
        <f t="shared" si="5"/>
        <v>0</v>
      </c>
      <c r="AF32" s="573">
        <f t="shared" si="16"/>
        <v>0</v>
      </c>
      <c r="AG32" s="573">
        <f t="shared" si="6"/>
        <v>0</v>
      </c>
      <c r="AH32" s="573">
        <f t="shared" si="7"/>
        <v>0</v>
      </c>
      <c r="AI32" s="572" t="str">
        <f t="shared" si="8"/>
        <v xml:space="preserve">Utilization ratio (only for info.): 0 %    Manufacturing lot size (only for info.): </v>
      </c>
      <c r="AK32" s="428"/>
      <c r="AL32" s="444">
        <f t="shared" si="17"/>
        <v>0</v>
      </c>
      <c r="AM32" s="444"/>
      <c r="AN32" s="286">
        <f>IF(F32=Assumptions!$I$6,AM32,AL32)</f>
        <v>0</v>
      </c>
      <c r="AO32" s="445"/>
      <c r="AP32" s="446" t="str">
        <f t="shared" si="18"/>
        <v>-</v>
      </c>
      <c r="AQ32" s="444">
        <f t="shared" si="19"/>
        <v>0</v>
      </c>
      <c r="AR32" s="584" t="str">
        <f t="shared" si="9"/>
        <v>-</v>
      </c>
      <c r="AS32" s="573">
        <f t="shared" si="10"/>
        <v>0</v>
      </c>
      <c r="AT32" s="573">
        <f t="shared" si="11"/>
        <v>0</v>
      </c>
      <c r="AU32" s="573">
        <f t="shared" si="12"/>
        <v>0</v>
      </c>
    </row>
    <row r="33" spans="2:47" ht="15.75" thickBot="1" x14ac:dyDescent="0.3">
      <c r="AA33" s="16"/>
      <c r="AS33" s="16"/>
      <c r="AT33" s="16"/>
    </row>
    <row r="34" spans="2:47" x14ac:dyDescent="0.25">
      <c r="B34" s="663" t="s">
        <v>89</v>
      </c>
      <c r="C34" s="665"/>
      <c r="D34" s="709" t="s">
        <v>90</v>
      </c>
      <c r="E34" s="710"/>
      <c r="F34" s="710"/>
      <c r="G34" s="710"/>
      <c r="H34" s="710"/>
      <c r="I34" s="710"/>
      <c r="J34" s="711"/>
      <c r="K34" s="660" t="str">
        <f>VLOOKUP("P24",Languages!A:J,VLOOKUP(Summary!X6,Languages!$C$2:$D$10,2,FALSE),FALSE)</f>
        <v>Sums</v>
      </c>
      <c r="L34" s="357"/>
      <c r="M34" s="361" t="str">
        <f>VLOOKUP(M13,Languages!A:J,VLOOKUP(Summary!X6,Languages!$C$2:$D$10,2,FALSE),FALSE)</f>
        <v>Machine costs</v>
      </c>
      <c r="N34" s="358"/>
      <c r="O34" s="358"/>
      <c r="P34" s="361" t="str">
        <f>VLOOKUP("P25",Languages!A:J,VLOOKUP(Summary!X6,Languages!$C$2:$D$10,2,FALSE),FALSE)</f>
        <v>Labor</v>
      </c>
      <c r="Q34" s="359" t="str">
        <f>VLOOKUP("P26",Languages!A:J,VLOOKUP(Summary!X6,Languages!$C$2:$D$10,2,FALSE),FALSE)</f>
        <v>Setup</v>
      </c>
      <c r="R34" s="358"/>
      <c r="S34" s="359" t="str">
        <f>VLOOKUP("P27",Languages!A:J,VLOOKUP(Summary!X6,Languages!$C$2:$D$10,2,FALSE),FALSE)</f>
        <v>Tool maint.</v>
      </c>
      <c r="T34" s="358"/>
      <c r="U34" s="708" t="str">
        <f>VLOOKUP("P30",Languages!A:J,VLOOKUP(Summary!X6,Languages!$C$2:$D$10,2,FALSE),FALSE)</f>
        <v>Man. OH</v>
      </c>
      <c r="V34" s="708"/>
      <c r="W34" s="359" t="str">
        <f>VLOOKUP("P31",Languages!A:J,VLOOKUP(Summary!X6,Languages!$C$2:$D$10,2,FALSE),FALSE)</f>
        <v>Scrap</v>
      </c>
      <c r="X34" s="358"/>
      <c r="Y34" s="391"/>
      <c r="Z34" s="392" t="str">
        <f>VLOOKUP("P32",Languages!A:J,VLOOKUP(Summary!X6,Languages!$C$2:$D$10,2,FALSE),FALSE)</f>
        <v>Manufacturing costs</v>
      </c>
      <c r="AA34" s="573">
        <f>SUM(AA16:AA32)</f>
        <v>0</v>
      </c>
      <c r="AB34" s="573">
        <f t="shared" ref="AB34:AH34" si="20">SUM(AB16:AB32)</f>
        <v>0</v>
      </c>
      <c r="AC34" s="573">
        <f t="shared" si="20"/>
        <v>0</v>
      </c>
      <c r="AD34" s="573">
        <f>SUM(AD16:AD32)</f>
        <v>0</v>
      </c>
      <c r="AE34" s="573">
        <f t="shared" si="20"/>
        <v>0</v>
      </c>
      <c r="AF34" s="573">
        <f t="shared" si="20"/>
        <v>0</v>
      </c>
      <c r="AG34" s="573">
        <f t="shared" si="20"/>
        <v>0</v>
      </c>
      <c r="AH34" s="573">
        <f t="shared" si="20"/>
        <v>0</v>
      </c>
      <c r="AK34" s="447"/>
      <c r="AL34" s="448"/>
      <c r="AM34" s="448"/>
      <c r="AN34" s="448"/>
      <c r="AO34" s="448"/>
      <c r="AP34" s="448"/>
      <c r="AQ34" s="448"/>
      <c r="AR34" s="419" t="str">
        <f>VLOOKUP("P40",Languages!A:J,VLOOKUP(Summary!X6,Languages!$C$2:$D$10,2,FALSE),FALSE)</f>
        <v>Total PCF</v>
      </c>
      <c r="AS34" s="573">
        <f>SUM(AS16:AS32)</f>
        <v>0</v>
      </c>
      <c r="AT34" s="573">
        <f>SUM(AT16:AT32)</f>
        <v>0</v>
      </c>
      <c r="AU34" s="573">
        <f t="shared" ref="AU34" si="21">SUM(AU16:AU32)</f>
        <v>0</v>
      </c>
    </row>
    <row r="35" spans="2:47" ht="15" customHeight="1" x14ac:dyDescent="0.25">
      <c r="B35" s="661" t="str">
        <f>VLOOKUP("P23",Languages!A:J,VLOOKUP(Summary!X6,Languages!$C$2:$D$10,2,FALSE),FALSE)</f>
        <v>Comments</v>
      </c>
      <c r="C35" s="718"/>
      <c r="D35" s="712"/>
      <c r="E35" s="713"/>
      <c r="F35" s="713"/>
      <c r="G35" s="713"/>
      <c r="H35" s="713"/>
      <c r="I35" s="713"/>
      <c r="J35" s="714"/>
      <c r="K35" s="661"/>
      <c r="L35" s="364"/>
      <c r="M35" s="585">
        <f>SUM(M16:M32)</f>
        <v>0</v>
      </c>
      <c r="P35" s="586">
        <f>SUM(P16:P32)</f>
        <v>0</v>
      </c>
      <c r="Q35" s="587">
        <f>SUM(Q16:Q32)</f>
        <v>0</v>
      </c>
      <c r="S35" s="588">
        <f>SUM(S16:S32)</f>
        <v>0</v>
      </c>
      <c r="U35" s="130"/>
      <c r="V35" s="590">
        <f>SUM(V16:V32)</f>
        <v>0</v>
      </c>
      <c r="W35" s="577">
        <f>SUM(W16:W32)</f>
        <v>0</v>
      </c>
      <c r="Y35" s="14"/>
      <c r="Z35" s="591">
        <f>SUM(Z16:Z32)</f>
        <v>0</v>
      </c>
      <c r="AK35" s="431"/>
      <c r="AR35" s="592">
        <f>SUM(AR16:AR32)</f>
        <v>0</v>
      </c>
    </row>
    <row r="36" spans="2:47" x14ac:dyDescent="0.25">
      <c r="B36" s="288"/>
      <c r="C36" s="289"/>
      <c r="D36" s="712"/>
      <c r="E36" s="713"/>
      <c r="F36" s="713"/>
      <c r="G36" s="713"/>
      <c r="H36" s="713"/>
      <c r="I36" s="713"/>
      <c r="J36" s="714"/>
      <c r="K36" s="661"/>
      <c r="L36" s="364"/>
      <c r="M36" s="14"/>
      <c r="O36" s="14"/>
      <c r="P36" s="14"/>
      <c r="S36" s="588">
        <f>M35+Q35</f>
        <v>0</v>
      </c>
      <c r="U36" s="14"/>
      <c r="Z36" s="393"/>
      <c r="AK36" s="431"/>
      <c r="AR36" s="432"/>
    </row>
    <row r="37" spans="2:47" ht="15.75" thickBot="1" x14ac:dyDescent="0.3">
      <c r="B37" s="136"/>
      <c r="C37" s="137"/>
      <c r="D37" s="715"/>
      <c r="E37" s="716"/>
      <c r="F37" s="716"/>
      <c r="G37" s="716"/>
      <c r="H37" s="716"/>
      <c r="I37" s="716"/>
      <c r="J37" s="717"/>
      <c r="K37" s="662"/>
      <c r="L37" s="413"/>
      <c r="M37" s="394"/>
      <c r="N37" s="366"/>
      <c r="O37" s="394"/>
      <c r="P37" s="394"/>
      <c r="Q37" s="366"/>
      <c r="R37" s="366"/>
      <c r="S37" s="589">
        <f>S35+S36</f>
        <v>0</v>
      </c>
      <c r="T37" s="366"/>
      <c r="U37" s="394"/>
      <c r="V37" s="366"/>
      <c r="W37" s="366"/>
      <c r="X37" s="366"/>
      <c r="Y37" s="366"/>
      <c r="Z37" s="395"/>
      <c r="AK37" s="433"/>
      <c r="AL37" s="449"/>
      <c r="AM37" s="449"/>
      <c r="AN37" s="449"/>
      <c r="AO37" s="449"/>
      <c r="AP37" s="449"/>
      <c r="AQ37" s="449"/>
      <c r="AR37" s="434"/>
    </row>
  </sheetData>
  <mergeCells count="27">
    <mergeCell ref="AO13:AP13"/>
    <mergeCell ref="AO14:AP14"/>
    <mergeCell ref="AK12:AR12"/>
    <mergeCell ref="G7:J7"/>
    <mergeCell ref="B34:C34"/>
    <mergeCell ref="U13:V13"/>
    <mergeCell ref="B9:D10"/>
    <mergeCell ref="B12:K12"/>
    <mergeCell ref="L12:Z12"/>
    <mergeCell ref="U34:V34"/>
    <mergeCell ref="D34:J37"/>
    <mergeCell ref="B35:C35"/>
    <mergeCell ref="AI12:AI14"/>
    <mergeCell ref="K34:K37"/>
    <mergeCell ref="W3:Z4"/>
    <mergeCell ref="AF12:AF14"/>
    <mergeCell ref="W7:Z7"/>
    <mergeCell ref="W8:Z8"/>
    <mergeCell ref="W9:Z9"/>
    <mergeCell ref="W10:Z10"/>
    <mergeCell ref="W14:X14"/>
    <mergeCell ref="W13:X13"/>
    <mergeCell ref="E3:V6"/>
    <mergeCell ref="U14:V14"/>
    <mergeCell ref="G8:J8"/>
    <mergeCell ref="G9:J9"/>
    <mergeCell ref="G10:J10"/>
  </mergeCells>
  <conditionalFormatting sqref="H17:J32 L17:P32 R17:S32">
    <cfRule type="expression" dxfId="16" priority="6">
      <formula>$F17=Rough</formula>
    </cfRule>
  </conditionalFormatting>
  <conditionalFormatting sqref="Q17:Q32">
    <cfRule type="expression" dxfId="15" priority="5">
      <formula>$F17=Rough</formula>
    </cfRule>
  </conditionalFormatting>
  <conditionalFormatting sqref="AK17:AL32">
    <cfRule type="expression" dxfId="14" priority="3">
      <formula>$F17=Rough</formula>
    </cfRule>
  </conditionalFormatting>
  <conditionalFormatting sqref="AM17:AM32">
    <cfRule type="expression" dxfId="13" priority="1">
      <formula>$F17=Rough</formula>
    </cfRule>
  </conditionalFormatting>
  <dataValidations count="2">
    <dataValidation type="list" allowBlank="1" showInputMessage="1" showErrorMessage="1" sqref="H16" xr:uid="{00000000-0002-0000-0200-000000000000}">
      <formula1>CylceTimeUnit</formula1>
    </dataValidation>
    <dataValidation type="list" allowBlank="1" showInputMessage="1" showErrorMessage="1" sqref="F17:F32" xr:uid="{00000000-0002-0000-0200-000001000000}">
      <formula1>CalculationQualities</formula1>
    </dataValidation>
  </dataValidations>
  <printOptions horizontalCentered="1"/>
  <pageMargins left="0.39370078740157483" right="0.39370078740157483" top="0.39370078740157483" bottom="0.39370078740157483" header="0.31496062992125984" footer="0.31496062992125984"/>
  <pageSetup scale="53" orientation="landscape" r:id="rId1"/>
  <headerFooter>
    <oddFooter>&amp;LUnrestricted</oddFooter>
  </headerFooter>
  <customProperties>
    <customPr name="EpmWorksheetKeyString_GUID" r:id="rId2"/>
  </customProperties>
  <drawing r:id="rId3"/>
  <legacy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Q39"/>
  <sheetViews>
    <sheetView showGridLines="0" zoomScale="85" zoomScaleNormal="85" zoomScaleSheetLayoutView="90" workbookViewId="0"/>
  </sheetViews>
  <sheetFormatPr baseColWidth="10" defaultColWidth="9.140625" defaultRowHeight="15" x14ac:dyDescent="0.25"/>
  <cols>
    <col min="1" max="1" width="9.140625" style="146"/>
    <col min="2" max="2" width="4.7109375" customWidth="1"/>
    <col min="3" max="3" width="24.7109375" customWidth="1"/>
    <col min="4" max="4" width="18.42578125" customWidth="1"/>
    <col min="5" max="5" width="16.5703125" customWidth="1"/>
    <col min="6" max="6" width="13.85546875" customWidth="1"/>
    <col min="7" max="7" width="8.7109375" customWidth="1"/>
    <col min="8" max="8" width="16.7109375" customWidth="1"/>
    <col min="9" max="9" width="8.7109375" customWidth="1"/>
    <col min="10" max="12" width="16.7109375" customWidth="1"/>
    <col min="13" max="14" width="8.7109375" customWidth="1"/>
    <col min="15" max="15" width="9.140625" hidden="1" customWidth="1"/>
    <col min="16" max="17" width="10.7109375" hidden="1" customWidth="1"/>
    <col min="29" max="29" width="9.140625" customWidth="1"/>
  </cols>
  <sheetData>
    <row r="2" spans="2:17" ht="15.75" thickBot="1" x14ac:dyDescent="0.3"/>
    <row r="3" spans="2:17" ht="15" customHeight="1" x14ac:dyDescent="0.25">
      <c r="B3" s="294"/>
      <c r="C3" s="295"/>
      <c r="D3" s="296"/>
      <c r="E3" s="622" t="str">
        <f>Summary!F3</f>
        <v>BOSCH Material and Process Evaluation (MPE)</v>
      </c>
      <c r="F3" s="622"/>
      <c r="G3" s="622"/>
      <c r="H3" s="622"/>
      <c r="I3" s="622"/>
      <c r="J3" s="622"/>
      <c r="K3" s="622"/>
      <c r="L3" s="726" t="str">
        <f>VLOOKUP("f",Languages!A:J,VLOOKUP(Summary!X6,Languages!$C$2:$D$10,2,FALSE),FALSE)</f>
        <v>Tools and Devices</v>
      </c>
      <c r="M3" s="727"/>
      <c r="N3" s="728"/>
    </row>
    <row r="4" spans="2:17" ht="15" customHeight="1" thickBot="1" x14ac:dyDescent="0.3">
      <c r="B4" s="297"/>
      <c r="C4" s="1"/>
      <c r="D4" s="298"/>
      <c r="E4" s="624"/>
      <c r="F4" s="624"/>
      <c r="G4" s="624"/>
      <c r="H4" s="624"/>
      <c r="I4" s="624"/>
      <c r="J4" s="624"/>
      <c r="K4" s="624"/>
      <c r="L4" s="729"/>
      <c r="M4" s="730"/>
      <c r="N4" s="731"/>
    </row>
    <row r="5" spans="2:17" ht="15" customHeight="1" thickBot="1" x14ac:dyDescent="0.3">
      <c r="B5" s="297"/>
      <c r="C5" s="1"/>
      <c r="D5" s="298"/>
      <c r="E5" s="624"/>
      <c r="F5" s="624"/>
      <c r="G5" s="624"/>
      <c r="H5" s="624"/>
      <c r="I5" s="624"/>
      <c r="J5" s="624"/>
      <c r="K5" s="624"/>
      <c r="L5" s="264" t="str">
        <f>Summary!W5</f>
        <v>Version</v>
      </c>
      <c r="M5" s="205" t="str">
        <f>Summary!X5</f>
        <v>4.1</v>
      </c>
      <c r="N5" s="139"/>
    </row>
    <row r="6" spans="2:17" ht="15" customHeight="1" thickBot="1" x14ac:dyDescent="0.3">
      <c r="B6" s="297"/>
      <c r="C6" s="1"/>
      <c r="D6" s="298"/>
      <c r="E6" s="626"/>
      <c r="F6" s="626"/>
      <c r="G6" s="626"/>
      <c r="H6" s="626"/>
      <c r="I6" s="626"/>
      <c r="J6" s="626"/>
      <c r="K6" s="626"/>
      <c r="L6" s="265" t="str">
        <f>Summary!W6</f>
        <v>Language</v>
      </c>
      <c r="M6" s="141" t="str">
        <f>Summary!X6</f>
        <v>English</v>
      </c>
      <c r="N6" s="142"/>
    </row>
    <row r="7" spans="2:17" ht="15" customHeight="1" x14ac:dyDescent="0.25">
      <c r="B7" s="297"/>
      <c r="C7" s="1"/>
      <c r="D7" s="298"/>
      <c r="E7" s="266" t="str">
        <f>Summary!G7</f>
        <v>Supplier</v>
      </c>
      <c r="F7" s="132"/>
      <c r="G7" s="720" t="str">
        <f>IF(Summary!O7=0,"",Summary!O7)</f>
        <v/>
      </c>
      <c r="H7" s="721"/>
      <c r="I7" s="268"/>
      <c r="J7" s="260" t="str">
        <f>VLOOKUP("0.01",Languages!A:J,VLOOKUP(Summary!X6,Languages!$C$2:$D$10,2,FALSE),FALSE)</f>
        <v>Field</v>
      </c>
      <c r="K7" s="273" t="str">
        <f>Summary!T7</f>
        <v>Project</v>
      </c>
      <c r="L7" s="674" t="str">
        <f>IF(Summary!V7=0,"",Summary!V7)</f>
        <v/>
      </c>
      <c r="M7" s="674"/>
      <c r="N7" s="675"/>
    </row>
    <row r="8" spans="2:17" ht="15" customHeight="1" x14ac:dyDescent="0.25">
      <c r="B8" s="297"/>
      <c r="C8" s="1"/>
      <c r="D8" s="298"/>
      <c r="E8" s="267" t="str">
        <f>Summary!G8</f>
        <v>Contact person</v>
      </c>
      <c r="F8" s="7"/>
      <c r="G8" s="722" t="str">
        <f>IF(Summary!O8=0,"",Summary!O8)</f>
        <v/>
      </c>
      <c r="H8" s="723"/>
      <c r="I8" s="269"/>
      <c r="J8" s="320" t="str">
        <f>VLOOKUP("0.02",Languages!A:J,VLOOKUP(Summary!X6,Languages!$C$2:$D$10,2,FALSE),FALSE)</f>
        <v>Level 1</v>
      </c>
      <c r="K8" s="274" t="str">
        <f>Summary!T8</f>
        <v>Part number</v>
      </c>
      <c r="L8" s="676" t="str">
        <f>IF(Summary!V8=0,"",Summary!V8)</f>
        <v/>
      </c>
      <c r="M8" s="677"/>
      <c r="N8" s="678"/>
    </row>
    <row r="9" spans="2:17" x14ac:dyDescent="0.25">
      <c r="B9" s="612"/>
      <c r="C9" s="613"/>
      <c r="D9" s="614"/>
      <c r="E9" s="267" t="str">
        <f>Summary!G9</f>
        <v>E-Mail</v>
      </c>
      <c r="F9" s="7"/>
      <c r="G9" s="722" t="str">
        <f>IF(Summary!O9=0,"",Summary!O9)</f>
        <v/>
      </c>
      <c r="H9" s="723"/>
      <c r="I9" s="269"/>
      <c r="J9" s="336" t="str">
        <f>VLOOKUP("0.03",Languages!A:J,VLOOKUP(Summary!X6,Languages!$C$2:$D$10,2,FALSE),FALSE)</f>
        <v>Level 2</v>
      </c>
      <c r="K9" s="274" t="str">
        <f>Summary!T9</f>
        <v>Part name</v>
      </c>
      <c r="L9" s="676" t="str">
        <f>IF(Summary!V9=0,"",Summary!V9)</f>
        <v/>
      </c>
      <c r="M9" s="677"/>
      <c r="N9" s="678"/>
    </row>
    <row r="10" spans="2:17" ht="15.75" thickBot="1" x14ac:dyDescent="0.3">
      <c r="B10" s="615"/>
      <c r="C10" s="616"/>
      <c r="D10" s="617"/>
      <c r="E10" s="263" t="str">
        <f>Summary!G10</f>
        <v>Telephone</v>
      </c>
      <c r="F10" s="134"/>
      <c r="G10" s="724" t="str">
        <f>IF(Summary!O10=0,"",Summary!O10)</f>
        <v/>
      </c>
      <c r="H10" s="725"/>
      <c r="I10" s="270"/>
      <c r="J10" s="261" t="str">
        <f>VLOOKUP("0.04",Languages!A:J,VLOOKUP(Summary!X6,Languages!$C$2:$D$10,2,FALSE),FALSE)</f>
        <v>calculated</v>
      </c>
      <c r="K10" s="275" t="str">
        <f>Summary!T10</f>
        <v>Quotation date</v>
      </c>
      <c r="L10" s="679" t="str">
        <f>IF(Summary!V10=0,"",Summary!V10)</f>
        <v/>
      </c>
      <c r="M10" s="680"/>
      <c r="N10" s="681"/>
    </row>
    <row r="11" spans="2:17" x14ac:dyDescent="0.25">
      <c r="B11" s="11"/>
      <c r="C11" s="11"/>
      <c r="D11" s="9"/>
      <c r="E11" s="9"/>
      <c r="F11" s="2"/>
      <c r="G11" s="9"/>
      <c r="H11" s="9"/>
    </row>
    <row r="12" spans="2:17" x14ac:dyDescent="0.25">
      <c r="B12" s="732" t="str">
        <f>VLOOKUP("I01",Languages!A:J,VLOOKUP(Summary!X6,Languages!$C$2:$D$10,2,FALSE),FALSE)</f>
        <v>General inputs</v>
      </c>
      <c r="C12" s="733"/>
      <c r="D12" s="733"/>
      <c r="E12" s="733"/>
      <c r="F12" s="734"/>
      <c r="G12" s="735" t="str">
        <f>VLOOKUP("I02",Languages!A:J,VLOOKUP(Summary!X6,Languages!$C$2:$D$10,2,FALSE),FALSE)</f>
        <v>Cost inputs</v>
      </c>
      <c r="H12" s="736"/>
      <c r="I12" s="736"/>
      <c r="J12" s="736"/>
      <c r="K12" s="736"/>
      <c r="L12" s="736"/>
      <c r="M12" s="736"/>
      <c r="N12" s="736"/>
      <c r="P12" s="652" t="str">
        <f>VLOOKUP("I03",Languages!A:J,VLOOKUP(Summary!X6,Languages!$C$2:$D$10,2,FALSE),FALSE)</f>
        <v>Carbon footprint inputs</v>
      </c>
      <c r="Q12" s="652"/>
    </row>
    <row r="13" spans="2:17" ht="15.75" thickBot="1" x14ac:dyDescent="0.3">
      <c r="B13" s="136" t="str">
        <f>VLOOKUP("I04",Languages!A:J,VLOOKUP(Summary!X6,Languages!$C$2:$D$10,2,FALSE),FALSE)</f>
        <v>Life time quantity:</v>
      </c>
      <c r="C13" s="414"/>
      <c r="D13" s="415">
        <f>Summary!D14*Summary!D15</f>
        <v>0</v>
      </c>
      <c r="E13" s="416"/>
      <c r="F13" s="417"/>
      <c r="G13" s="412"/>
      <c r="H13" s="411"/>
      <c r="I13" s="411"/>
      <c r="J13" s="411"/>
      <c r="K13" s="411"/>
      <c r="L13" s="411"/>
      <c r="M13" s="411"/>
      <c r="N13" s="411"/>
      <c r="Q13" s="434"/>
    </row>
    <row r="14" spans="2:17" x14ac:dyDescent="0.25">
      <c r="B14" s="18" t="s">
        <v>91</v>
      </c>
      <c r="C14" s="239" t="s">
        <v>92</v>
      </c>
      <c r="D14" s="239" t="s">
        <v>93</v>
      </c>
      <c r="E14" s="239" t="s">
        <v>94</v>
      </c>
      <c r="F14" s="277" t="s">
        <v>95</v>
      </c>
      <c r="G14" s="378" t="s">
        <v>96</v>
      </c>
      <c r="H14" s="379" t="s">
        <v>97</v>
      </c>
      <c r="I14" s="398" t="s">
        <v>98</v>
      </c>
      <c r="J14" s="399" t="s">
        <v>99</v>
      </c>
      <c r="K14" s="379" t="s">
        <v>100</v>
      </c>
      <c r="L14" s="379" t="s">
        <v>101</v>
      </c>
      <c r="M14" s="379" t="s">
        <v>102</v>
      </c>
      <c r="N14" s="400" t="s">
        <v>103</v>
      </c>
      <c r="P14" s="418" t="s">
        <v>104</v>
      </c>
      <c r="Q14" s="419" t="s">
        <v>105</v>
      </c>
    </row>
    <row r="15" spans="2:17" ht="69.95" customHeight="1" x14ac:dyDescent="0.25">
      <c r="B15" s="222" t="str">
        <f>VLOOKUP("I1",Languages!A:J,VLOOKUP(Summary!X6,Languages!$C$2:$D$10,2,FALSE),FALSE)</f>
        <v>Manufacturing step no.</v>
      </c>
      <c r="C15" s="262" t="str">
        <f>VLOOKUP("I2",Languages!A:J,VLOOKUP(Summary!X6,Languages!$C$2:$D$10,2,FALSE),FALSE)</f>
        <v>Designation Tool / Device</v>
      </c>
      <c r="D15" s="262" t="str">
        <f>VLOOKUP("I3",Languages!A:J,VLOOKUP(Summary!X6,Languages!$C$2:$D$10,2,FALSE),FALSE)</f>
        <v>Service life in cycles</v>
      </c>
      <c r="E15" s="262" t="str">
        <f>VLOOKUP("I8",Languages!A:J,VLOOKUP(Summary!X6,Languages!$C$2:$D$10,2,FALSE),FALSE)</f>
        <v>Number (lifetime)</v>
      </c>
      <c r="F15" s="243" t="str">
        <f>VLOOKUP("I12",Languages!A:J,VLOOKUP(Summary!X6,Languages!$C$2:$D$10,2,FALSE),FALSE)</f>
        <v>Usage from P20 Manufacturing (6,7,8,9)</v>
      </c>
      <c r="G15" s="401" t="str">
        <f>VLOOKUP("I4",Languages!A:J,VLOOKUP(Summary!X6,Languages!$C$2:$D$10,2,FALSE),FALSE)</f>
        <v>Purchasing currency</v>
      </c>
      <c r="H15" s="262" t="str">
        <f>VLOOKUP("I5",Languages!A:J,VLOOKUP(Summary!X6,Languages!$C$2:$D$10,2,FALSE),FALSE)</f>
        <v>Investment in purchasing currency</v>
      </c>
      <c r="I15" s="232" t="str">
        <f>VLOOKUP("I6",Languages!A:J,VLOOKUP(Summary!X6,Languages!$C$2:$D$10,2,FALSE),FALSE)</f>
        <v>Rate of exchange (AW/BW)</v>
      </c>
      <c r="J15" s="245" t="str">
        <f>VLOOKUP("I7",Languages!A:J,VLOOKUP(Summary!X6,Languages!$C$2:$D$10,2,FALSE),FALSE)</f>
        <v>Investment in quotation currency</v>
      </c>
      <c r="K15" s="262" t="str">
        <f>VLOOKUP("I9",Languages!A:J,VLOOKUP(Summary!X6,Languages!$C$2:$D$10,2,FALSE),FALSE)</f>
        <v>Total lifetime investment</v>
      </c>
      <c r="L15" s="262" t="str">
        <f>VLOOKUP("I10",Languages!A:J,VLOOKUP(Summary!X6,Languages!$C$2:$D$10,2,FALSE),FALSE)</f>
        <v>One-time payments</v>
      </c>
      <c r="M15" s="243" t="str">
        <f>VLOOKUP("I11",Languages!A:J,VLOOKUP(Summary!X6,Languages!$C$2:$D$10,2,FALSE),FALSE)</f>
        <v>Allocated costs</v>
      </c>
      <c r="N15" s="342" t="str">
        <f>VLOOKUP("I13",Languages!A:J,VLOOKUP(Summary!X6,Languages!$C$2:$D$10,2,FALSE),FALSE)</f>
        <v>Allocated costs total</v>
      </c>
      <c r="O15" s="156"/>
      <c r="P15" s="420" t="str">
        <f>VLOOKUP("I20",Languages!A:J,VLOOKUP(Summary!X6,Languages!$C$2:$D$10,2,FALSE),FALSE)</f>
        <v>Carbon footprint</v>
      </c>
      <c r="Q15" s="421" t="str">
        <f>VLOOKUP("I21",Languages!A:J,VLOOKUP(Summary!X6,Languages!$C$2:$D$10,2,FALSE),FALSE)</f>
        <v>Carbon footprint total</v>
      </c>
    </row>
    <row r="16" spans="2:17" ht="15" customHeight="1" x14ac:dyDescent="0.25">
      <c r="B16" s="222"/>
      <c r="C16" s="262"/>
      <c r="D16" s="262"/>
      <c r="E16" s="262"/>
      <c r="F16" s="262"/>
      <c r="G16" s="381"/>
      <c r="H16" s="262"/>
      <c r="I16" s="232"/>
      <c r="J16" s="23">
        <f>Summary!D18</f>
        <v>0</v>
      </c>
      <c r="K16" s="246">
        <f>Summary!D18</f>
        <v>0</v>
      </c>
      <c r="L16" s="246">
        <f>Summary!D18</f>
        <v>0</v>
      </c>
      <c r="M16" s="246">
        <f>Summary!D18</f>
        <v>0</v>
      </c>
      <c r="N16" s="402">
        <f>Summary!D18</f>
        <v>0</v>
      </c>
      <c r="P16" s="422" t="s">
        <v>41</v>
      </c>
      <c r="Q16" s="423" t="s">
        <v>41</v>
      </c>
    </row>
    <row r="17" spans="2:17" x14ac:dyDescent="0.25">
      <c r="B17" s="255"/>
      <c r="C17" s="72"/>
      <c r="D17" s="72"/>
      <c r="E17" s="247"/>
      <c r="F17" s="258" t="str">
        <f>VLOOKUP(13.5,Languages!A:J,VLOOKUP(Summary!X6,Languages!$C$2:$D$10,2,FALSE),FALSE)</f>
        <v>units</v>
      </c>
      <c r="G17" s="403"/>
      <c r="H17" s="246"/>
      <c r="I17" s="397"/>
      <c r="J17" s="244" t="str">
        <f>VLOOKUP(13.3,Languages!A:J,VLOOKUP(Summary!X6,Languages!$C$2:$D$10,2,FALSE),FALSE)</f>
        <v>/unit</v>
      </c>
      <c r="K17" s="271"/>
      <c r="L17" s="271"/>
      <c r="M17" s="272" t="str">
        <f>VLOOKUP(13.3,Languages!A:J,VLOOKUP(Summary!X6,Languages!$C$2:$D$10,2,FALSE),FALSE)</f>
        <v>/unit</v>
      </c>
      <c r="N17" s="404" t="str">
        <f>VLOOKUP(13.6,Languages!A:J,VLOOKUP(Summary!X6,Languages!$C$2:$D$10,2,FALSE),FALSE)</f>
        <v>/quot. Unit</v>
      </c>
      <c r="P17" s="424" t="str">
        <f>VLOOKUP(13.3,Languages!A:J,VLOOKUP(Summary!X6,Languages!$C$2:$D$10,2,FALSE),FALSE)</f>
        <v>/unit</v>
      </c>
      <c r="Q17" s="425" t="str">
        <f>VLOOKUP(13.6,Languages!A:J,VLOOKUP(Summary!X6,Languages!$C$2:$D$10,2,FALSE),FALSE)</f>
        <v>/quot. Unit</v>
      </c>
    </row>
    <row r="18" spans="2:17" x14ac:dyDescent="0.25">
      <c r="B18" s="319"/>
      <c r="C18" s="312"/>
      <c r="D18" s="334"/>
      <c r="E18" s="325"/>
      <c r="F18" s="286" t="str">
        <f>IF(ISBLANK(B18),"-",(VLOOKUP(B18,'Manufacturing (6,7,8,9)'!$B$16:$Z$200,10,FALSE)))</f>
        <v>-</v>
      </c>
      <c r="G18" s="405"/>
      <c r="H18" s="330"/>
      <c r="I18" s="396"/>
      <c r="J18" s="593">
        <f t="shared" ref="J18:J34" si="0">H18*I18</f>
        <v>0</v>
      </c>
      <c r="K18" s="286">
        <f t="shared" ref="K18:K34" si="1">J18*E18</f>
        <v>0</v>
      </c>
      <c r="L18" s="330"/>
      <c r="M18" s="330"/>
      <c r="N18" s="594" t="str">
        <f t="shared" ref="N18:N34" si="2">IF(ISBLANK(M18),"-",M18*F18)</f>
        <v>-</v>
      </c>
      <c r="O18" t="str">
        <f t="shared" ref="O18:O34" si="3">$D$15&amp;": "&amp;D18&amp;"    "&amp;$G$15&amp;": "&amp;G18&amp;"    "&amp;$H$15&amp;": "&amp;H18&amp;"    "&amp;$I$15&amp;": "&amp;I18&amp;"    "&amp;$J$15&amp;": "&amp;J18&amp;"    "&amp;$E$15&amp;": "&amp;E18&amp;"    "&amp;$K$15&amp;": "&amp;K18</f>
        <v>Service life in cycles:     Purchasing currency:     Investment in purchasing currency:     Rate of exchange (AW/BW):     Investment in quotation currency: 0    Number (lifetime):     Total lifetime investment: 0</v>
      </c>
      <c r="P18" s="426"/>
      <c r="Q18" s="582" t="str">
        <f>IF(ISBLANK(P18),"-",P18*F18)</f>
        <v>-</v>
      </c>
    </row>
    <row r="19" spans="2:17" x14ac:dyDescent="0.25">
      <c r="B19" s="316"/>
      <c r="C19" s="312"/>
      <c r="D19" s="334"/>
      <c r="E19" s="325"/>
      <c r="F19" s="286" t="str">
        <f>IF(ISBLANK(B19),"-",(VLOOKUP(B19,'Manufacturing (6,7,8,9)'!$B$16:$Z$200,10,FALSE)))</f>
        <v>-</v>
      </c>
      <c r="G19" s="405"/>
      <c r="H19" s="330"/>
      <c r="I19" s="396"/>
      <c r="J19" s="593">
        <f t="shared" si="0"/>
        <v>0</v>
      </c>
      <c r="K19" s="286">
        <f t="shared" si="1"/>
        <v>0</v>
      </c>
      <c r="L19" s="330"/>
      <c r="M19" s="330"/>
      <c r="N19" s="594" t="str">
        <f t="shared" si="2"/>
        <v>-</v>
      </c>
      <c r="O19" t="str">
        <f t="shared" si="3"/>
        <v>Service life in cycles:     Purchasing currency:     Investment in purchasing currency:     Rate of exchange (AW/BW):     Investment in quotation currency: 0    Number (lifetime):     Total lifetime investment: 0</v>
      </c>
      <c r="P19" s="426"/>
      <c r="Q19" s="582" t="str">
        <f t="shared" ref="Q19:Q34" si="4">IF(ISBLANK(P19),"-",P19*F19)</f>
        <v>-</v>
      </c>
    </row>
    <row r="20" spans="2:17" x14ac:dyDescent="0.25">
      <c r="B20" s="316"/>
      <c r="C20" s="312"/>
      <c r="D20" s="334"/>
      <c r="E20" s="325"/>
      <c r="F20" s="286" t="str">
        <f>IF(ISBLANK(B20),"-",(VLOOKUP(B20,'Manufacturing (6,7,8,9)'!$B$16:$Z$200,10,FALSE)))</f>
        <v>-</v>
      </c>
      <c r="G20" s="405"/>
      <c r="H20" s="330"/>
      <c r="I20" s="396"/>
      <c r="J20" s="593">
        <f t="shared" si="0"/>
        <v>0</v>
      </c>
      <c r="K20" s="286">
        <f t="shared" si="1"/>
        <v>0</v>
      </c>
      <c r="L20" s="330"/>
      <c r="M20" s="330"/>
      <c r="N20" s="594" t="str">
        <f t="shared" si="2"/>
        <v>-</v>
      </c>
      <c r="O20" t="str">
        <f t="shared" si="3"/>
        <v>Service life in cycles:     Purchasing currency:     Investment in purchasing currency:     Rate of exchange (AW/BW):     Investment in quotation currency: 0    Number (lifetime):     Total lifetime investment: 0</v>
      </c>
      <c r="P20" s="426"/>
      <c r="Q20" s="582" t="str">
        <f t="shared" si="4"/>
        <v>-</v>
      </c>
    </row>
    <row r="21" spans="2:17" x14ac:dyDescent="0.25">
      <c r="B21" s="316"/>
      <c r="C21" s="312"/>
      <c r="D21" s="334"/>
      <c r="E21" s="325"/>
      <c r="F21" s="286" t="str">
        <f>IF(ISBLANK(B21),"-",(VLOOKUP(B21,'Manufacturing (6,7,8,9)'!$B$16:$Z$200,10,FALSE)))</f>
        <v>-</v>
      </c>
      <c r="G21" s="405"/>
      <c r="H21" s="330"/>
      <c r="I21" s="396"/>
      <c r="J21" s="593">
        <f t="shared" si="0"/>
        <v>0</v>
      </c>
      <c r="K21" s="286">
        <f t="shared" si="1"/>
        <v>0</v>
      </c>
      <c r="L21" s="330"/>
      <c r="M21" s="330"/>
      <c r="N21" s="594" t="str">
        <f t="shared" si="2"/>
        <v>-</v>
      </c>
      <c r="O21" t="str">
        <f t="shared" si="3"/>
        <v>Service life in cycles:     Purchasing currency:     Investment in purchasing currency:     Rate of exchange (AW/BW):     Investment in quotation currency: 0    Number (lifetime):     Total lifetime investment: 0</v>
      </c>
      <c r="P21" s="426"/>
      <c r="Q21" s="582" t="str">
        <f t="shared" si="4"/>
        <v>-</v>
      </c>
    </row>
    <row r="22" spans="2:17" x14ac:dyDescent="0.25">
      <c r="B22" s="316"/>
      <c r="C22" s="312"/>
      <c r="D22" s="334"/>
      <c r="E22" s="325"/>
      <c r="F22" s="286" t="str">
        <f>IF(ISBLANK(B22),"-",(VLOOKUP(B22,'Manufacturing (6,7,8,9)'!$B$16:$Z$200,10,FALSE)))</f>
        <v>-</v>
      </c>
      <c r="G22" s="405"/>
      <c r="H22" s="330"/>
      <c r="I22" s="396"/>
      <c r="J22" s="593">
        <f t="shared" si="0"/>
        <v>0</v>
      </c>
      <c r="K22" s="286">
        <f t="shared" si="1"/>
        <v>0</v>
      </c>
      <c r="L22" s="330"/>
      <c r="M22" s="330"/>
      <c r="N22" s="594" t="str">
        <f t="shared" si="2"/>
        <v>-</v>
      </c>
      <c r="O22" t="str">
        <f t="shared" si="3"/>
        <v>Service life in cycles:     Purchasing currency:     Investment in purchasing currency:     Rate of exchange (AW/BW):     Investment in quotation currency: 0    Number (lifetime):     Total lifetime investment: 0</v>
      </c>
      <c r="P22" s="426"/>
      <c r="Q22" s="582" t="str">
        <f t="shared" si="4"/>
        <v>-</v>
      </c>
    </row>
    <row r="23" spans="2:17" x14ac:dyDescent="0.25">
      <c r="B23" s="316"/>
      <c r="C23" s="312"/>
      <c r="D23" s="334"/>
      <c r="E23" s="325"/>
      <c r="F23" s="286" t="str">
        <f>IF(ISBLANK(B23),"-",(VLOOKUP(B23,'Manufacturing (6,7,8,9)'!$B$16:$Z$200,10,FALSE)))</f>
        <v>-</v>
      </c>
      <c r="G23" s="405"/>
      <c r="H23" s="330"/>
      <c r="I23" s="396"/>
      <c r="J23" s="593">
        <f t="shared" si="0"/>
        <v>0</v>
      </c>
      <c r="K23" s="286">
        <f t="shared" si="1"/>
        <v>0</v>
      </c>
      <c r="L23" s="330"/>
      <c r="M23" s="330"/>
      <c r="N23" s="594" t="str">
        <f t="shared" si="2"/>
        <v>-</v>
      </c>
      <c r="O23" t="str">
        <f t="shared" si="3"/>
        <v>Service life in cycles:     Purchasing currency:     Investment in purchasing currency:     Rate of exchange (AW/BW):     Investment in quotation currency: 0    Number (lifetime):     Total lifetime investment: 0</v>
      </c>
      <c r="P23" s="426"/>
      <c r="Q23" s="582" t="str">
        <f t="shared" si="4"/>
        <v>-</v>
      </c>
    </row>
    <row r="24" spans="2:17" x14ac:dyDescent="0.25">
      <c r="B24" s="316"/>
      <c r="C24" s="312"/>
      <c r="D24" s="334"/>
      <c r="E24" s="325"/>
      <c r="F24" s="286" t="str">
        <f>IF(ISBLANK(B24),"-",(VLOOKUP(B24,'Manufacturing (6,7,8,9)'!$B$16:$Z$200,10,FALSE)))</f>
        <v>-</v>
      </c>
      <c r="G24" s="405"/>
      <c r="H24" s="330"/>
      <c r="I24" s="396"/>
      <c r="J24" s="593">
        <f t="shared" si="0"/>
        <v>0</v>
      </c>
      <c r="K24" s="286">
        <f t="shared" si="1"/>
        <v>0</v>
      </c>
      <c r="L24" s="330"/>
      <c r="M24" s="330"/>
      <c r="N24" s="594" t="str">
        <f t="shared" si="2"/>
        <v>-</v>
      </c>
      <c r="O24" t="str">
        <f t="shared" si="3"/>
        <v>Service life in cycles:     Purchasing currency:     Investment in purchasing currency:     Rate of exchange (AW/BW):     Investment in quotation currency: 0    Number (lifetime):     Total lifetime investment: 0</v>
      </c>
      <c r="P24" s="426"/>
      <c r="Q24" s="582" t="str">
        <f t="shared" si="4"/>
        <v>-</v>
      </c>
    </row>
    <row r="25" spans="2:17" x14ac:dyDescent="0.25">
      <c r="B25" s="316"/>
      <c r="C25" s="312"/>
      <c r="D25" s="334"/>
      <c r="E25" s="325"/>
      <c r="F25" s="286" t="str">
        <f>IF(ISBLANK(B25),"-",(VLOOKUP(B25,'Manufacturing (6,7,8,9)'!$B$16:$Z$200,10,FALSE)))</f>
        <v>-</v>
      </c>
      <c r="G25" s="405"/>
      <c r="H25" s="330"/>
      <c r="I25" s="396"/>
      <c r="J25" s="593">
        <f t="shared" si="0"/>
        <v>0</v>
      </c>
      <c r="K25" s="286">
        <f t="shared" si="1"/>
        <v>0</v>
      </c>
      <c r="L25" s="330"/>
      <c r="M25" s="330"/>
      <c r="N25" s="594" t="str">
        <f t="shared" si="2"/>
        <v>-</v>
      </c>
      <c r="O25" t="str">
        <f t="shared" si="3"/>
        <v>Service life in cycles:     Purchasing currency:     Investment in purchasing currency:     Rate of exchange (AW/BW):     Investment in quotation currency: 0    Number (lifetime):     Total lifetime investment: 0</v>
      </c>
      <c r="P25" s="426"/>
      <c r="Q25" s="582" t="str">
        <f t="shared" si="4"/>
        <v>-</v>
      </c>
    </row>
    <row r="26" spans="2:17" x14ac:dyDescent="0.25">
      <c r="B26" s="316"/>
      <c r="C26" s="312"/>
      <c r="D26" s="334"/>
      <c r="E26" s="325"/>
      <c r="F26" s="286" t="str">
        <f>IF(ISBLANK(B26),"-",(VLOOKUP(B26,'Manufacturing (6,7,8,9)'!$B$16:$Z$200,10,FALSE)))</f>
        <v>-</v>
      </c>
      <c r="G26" s="405"/>
      <c r="H26" s="330"/>
      <c r="I26" s="396"/>
      <c r="J26" s="593">
        <f t="shared" si="0"/>
        <v>0</v>
      </c>
      <c r="K26" s="286">
        <f t="shared" si="1"/>
        <v>0</v>
      </c>
      <c r="L26" s="330"/>
      <c r="M26" s="330"/>
      <c r="N26" s="594" t="str">
        <f t="shared" si="2"/>
        <v>-</v>
      </c>
      <c r="O26" t="str">
        <f t="shared" si="3"/>
        <v>Service life in cycles:     Purchasing currency:     Investment in purchasing currency:     Rate of exchange (AW/BW):     Investment in quotation currency: 0    Number (lifetime):     Total lifetime investment: 0</v>
      </c>
      <c r="P26" s="426"/>
      <c r="Q26" s="582" t="str">
        <f t="shared" si="4"/>
        <v>-</v>
      </c>
    </row>
    <row r="27" spans="2:17" x14ac:dyDescent="0.25">
      <c r="B27" s="316"/>
      <c r="C27" s="312"/>
      <c r="D27" s="334"/>
      <c r="E27" s="325"/>
      <c r="F27" s="286" t="str">
        <f>IF(ISBLANK(B27),"-",(VLOOKUP(B27,'Manufacturing (6,7,8,9)'!$B$16:$Z$200,10,FALSE)))</f>
        <v>-</v>
      </c>
      <c r="G27" s="405"/>
      <c r="H27" s="330"/>
      <c r="I27" s="396"/>
      <c r="J27" s="593">
        <f t="shared" si="0"/>
        <v>0</v>
      </c>
      <c r="K27" s="286">
        <f t="shared" si="1"/>
        <v>0</v>
      </c>
      <c r="L27" s="330"/>
      <c r="M27" s="330"/>
      <c r="N27" s="594" t="str">
        <f t="shared" si="2"/>
        <v>-</v>
      </c>
      <c r="O27" t="str">
        <f t="shared" si="3"/>
        <v>Service life in cycles:     Purchasing currency:     Investment in purchasing currency:     Rate of exchange (AW/BW):     Investment in quotation currency: 0    Number (lifetime):     Total lifetime investment: 0</v>
      </c>
      <c r="P27" s="426"/>
      <c r="Q27" s="582" t="str">
        <f t="shared" si="4"/>
        <v>-</v>
      </c>
    </row>
    <row r="28" spans="2:17" x14ac:dyDescent="0.25">
      <c r="B28" s="316"/>
      <c r="C28" s="312"/>
      <c r="D28" s="334"/>
      <c r="E28" s="325"/>
      <c r="F28" s="286" t="str">
        <f>IF(ISBLANK(B28),"-",(VLOOKUP(B28,'Manufacturing (6,7,8,9)'!$B$16:$Z$200,10,FALSE)))</f>
        <v>-</v>
      </c>
      <c r="G28" s="405"/>
      <c r="H28" s="330"/>
      <c r="I28" s="396"/>
      <c r="J28" s="593">
        <f t="shared" si="0"/>
        <v>0</v>
      </c>
      <c r="K28" s="286">
        <f t="shared" si="1"/>
        <v>0</v>
      </c>
      <c r="L28" s="330"/>
      <c r="M28" s="330"/>
      <c r="N28" s="594" t="str">
        <f t="shared" si="2"/>
        <v>-</v>
      </c>
      <c r="O28" t="str">
        <f t="shared" si="3"/>
        <v>Service life in cycles:     Purchasing currency:     Investment in purchasing currency:     Rate of exchange (AW/BW):     Investment in quotation currency: 0    Number (lifetime):     Total lifetime investment: 0</v>
      </c>
      <c r="P28" s="426"/>
      <c r="Q28" s="582" t="str">
        <f t="shared" si="4"/>
        <v>-</v>
      </c>
    </row>
    <row r="29" spans="2:17" x14ac:dyDescent="0.25">
      <c r="B29" s="316"/>
      <c r="C29" s="312"/>
      <c r="D29" s="334"/>
      <c r="E29" s="325"/>
      <c r="F29" s="286" t="str">
        <f>IF(ISBLANK(B29),"-",(VLOOKUP(B29,'Manufacturing (6,7,8,9)'!$B$16:$Z$200,10,FALSE)))</f>
        <v>-</v>
      </c>
      <c r="G29" s="405"/>
      <c r="H29" s="330"/>
      <c r="I29" s="396"/>
      <c r="J29" s="593">
        <f t="shared" si="0"/>
        <v>0</v>
      </c>
      <c r="K29" s="286">
        <f t="shared" si="1"/>
        <v>0</v>
      </c>
      <c r="L29" s="330"/>
      <c r="M29" s="330"/>
      <c r="N29" s="594" t="str">
        <f t="shared" si="2"/>
        <v>-</v>
      </c>
      <c r="O29" t="str">
        <f t="shared" si="3"/>
        <v>Service life in cycles:     Purchasing currency:     Investment in purchasing currency:     Rate of exchange (AW/BW):     Investment in quotation currency: 0    Number (lifetime):     Total lifetime investment: 0</v>
      </c>
      <c r="P29" s="426"/>
      <c r="Q29" s="582" t="str">
        <f t="shared" si="4"/>
        <v>-</v>
      </c>
    </row>
    <row r="30" spans="2:17" x14ac:dyDescent="0.25">
      <c r="B30" s="316"/>
      <c r="C30" s="312"/>
      <c r="D30" s="334"/>
      <c r="E30" s="325"/>
      <c r="F30" s="286" t="str">
        <f>IF(ISBLANK(B30),"-",(VLOOKUP(B30,'Manufacturing (6,7,8,9)'!$B$16:$Z$200,10,FALSE)))</f>
        <v>-</v>
      </c>
      <c r="G30" s="405"/>
      <c r="H30" s="330"/>
      <c r="I30" s="396"/>
      <c r="J30" s="593">
        <f t="shared" si="0"/>
        <v>0</v>
      </c>
      <c r="K30" s="286">
        <f t="shared" si="1"/>
        <v>0</v>
      </c>
      <c r="L30" s="330"/>
      <c r="M30" s="330"/>
      <c r="N30" s="594" t="str">
        <f t="shared" si="2"/>
        <v>-</v>
      </c>
      <c r="O30" t="str">
        <f t="shared" si="3"/>
        <v>Service life in cycles:     Purchasing currency:     Investment in purchasing currency:     Rate of exchange (AW/BW):     Investment in quotation currency: 0    Number (lifetime):     Total lifetime investment: 0</v>
      </c>
      <c r="P30" s="426"/>
      <c r="Q30" s="582" t="str">
        <f t="shared" si="4"/>
        <v>-</v>
      </c>
    </row>
    <row r="31" spans="2:17" x14ac:dyDescent="0.25">
      <c r="B31" s="316"/>
      <c r="C31" s="312"/>
      <c r="D31" s="334"/>
      <c r="E31" s="325"/>
      <c r="F31" s="286" t="str">
        <f>IF(ISBLANK(B31),"-",(VLOOKUP(B31,'Manufacturing (6,7,8,9)'!$B$16:$Z$200,10,FALSE)))</f>
        <v>-</v>
      </c>
      <c r="G31" s="405"/>
      <c r="H31" s="330"/>
      <c r="I31" s="396"/>
      <c r="J31" s="593">
        <f t="shared" si="0"/>
        <v>0</v>
      </c>
      <c r="K31" s="286">
        <f t="shared" si="1"/>
        <v>0</v>
      </c>
      <c r="L31" s="330"/>
      <c r="M31" s="330"/>
      <c r="N31" s="594" t="str">
        <f t="shared" si="2"/>
        <v>-</v>
      </c>
      <c r="O31" t="str">
        <f t="shared" si="3"/>
        <v>Service life in cycles:     Purchasing currency:     Investment in purchasing currency:     Rate of exchange (AW/BW):     Investment in quotation currency: 0    Number (lifetime):     Total lifetime investment: 0</v>
      </c>
      <c r="P31" s="426"/>
      <c r="Q31" s="582" t="str">
        <f t="shared" si="4"/>
        <v>-</v>
      </c>
    </row>
    <row r="32" spans="2:17" x14ac:dyDescent="0.25">
      <c r="B32" s="316"/>
      <c r="C32" s="312"/>
      <c r="D32" s="334"/>
      <c r="E32" s="325"/>
      <c r="F32" s="286" t="str">
        <f>IF(ISBLANK(B32),"-",(VLOOKUP(B32,'Manufacturing (6,7,8,9)'!$B$16:$Z$200,10,FALSE)))</f>
        <v>-</v>
      </c>
      <c r="G32" s="405"/>
      <c r="H32" s="330"/>
      <c r="I32" s="396"/>
      <c r="J32" s="593">
        <f t="shared" si="0"/>
        <v>0</v>
      </c>
      <c r="K32" s="286">
        <f t="shared" si="1"/>
        <v>0</v>
      </c>
      <c r="L32" s="330"/>
      <c r="M32" s="330"/>
      <c r="N32" s="594" t="str">
        <f t="shared" si="2"/>
        <v>-</v>
      </c>
      <c r="O32" t="str">
        <f t="shared" si="3"/>
        <v>Service life in cycles:     Purchasing currency:     Investment in purchasing currency:     Rate of exchange (AW/BW):     Investment in quotation currency: 0    Number (lifetime):     Total lifetime investment: 0</v>
      </c>
      <c r="P32" s="426"/>
      <c r="Q32" s="582" t="str">
        <f t="shared" si="4"/>
        <v>-</v>
      </c>
    </row>
    <row r="33" spans="1:17" x14ac:dyDescent="0.25">
      <c r="B33" s="316"/>
      <c r="C33" s="312"/>
      <c r="D33" s="334"/>
      <c r="E33" s="325"/>
      <c r="F33" s="286" t="str">
        <f>IF(ISBLANK(B33),"-",(VLOOKUP(B33,'Manufacturing (6,7,8,9)'!$B$16:$Z$200,10,FALSE)))</f>
        <v>-</v>
      </c>
      <c r="G33" s="405"/>
      <c r="H33" s="330"/>
      <c r="I33" s="396"/>
      <c r="J33" s="593">
        <f t="shared" si="0"/>
        <v>0</v>
      </c>
      <c r="K33" s="286">
        <f t="shared" si="1"/>
        <v>0</v>
      </c>
      <c r="L33" s="330"/>
      <c r="M33" s="330"/>
      <c r="N33" s="594" t="str">
        <f t="shared" si="2"/>
        <v>-</v>
      </c>
      <c r="O33" t="str">
        <f t="shared" si="3"/>
        <v>Service life in cycles:     Purchasing currency:     Investment in purchasing currency:     Rate of exchange (AW/BW):     Investment in quotation currency: 0    Number (lifetime):     Total lifetime investment: 0</v>
      </c>
      <c r="P33" s="426"/>
      <c r="Q33" s="582" t="str">
        <f t="shared" si="4"/>
        <v>-</v>
      </c>
    </row>
    <row r="34" spans="1:17" ht="15.75" thickBot="1" x14ac:dyDescent="0.3">
      <c r="B34" s="317"/>
      <c r="C34" s="314"/>
      <c r="D34" s="335"/>
      <c r="E34" s="327"/>
      <c r="F34" s="595" t="str">
        <f>IF(ISBLANK(B34),"-",(VLOOKUP(B34,'Manufacturing (6,7,8,9)'!$B$16:$Z$200,10,FALSE)))</f>
        <v>-</v>
      </c>
      <c r="G34" s="406"/>
      <c r="H34" s="348"/>
      <c r="I34" s="407"/>
      <c r="J34" s="596">
        <f t="shared" si="0"/>
        <v>0</v>
      </c>
      <c r="K34" s="597">
        <f t="shared" si="1"/>
        <v>0</v>
      </c>
      <c r="L34" s="348"/>
      <c r="M34" s="348"/>
      <c r="N34" s="598" t="str">
        <f t="shared" si="2"/>
        <v>-</v>
      </c>
      <c r="O34" t="str">
        <f t="shared" si="3"/>
        <v>Service life in cycles:     Purchasing currency:     Investment in purchasing currency:     Rate of exchange (AW/BW):     Investment in quotation currency: 0    Number (lifetime):     Total lifetime investment: 0</v>
      </c>
      <c r="P34" s="428"/>
      <c r="Q34" s="584" t="str">
        <f t="shared" si="4"/>
        <v>-</v>
      </c>
    </row>
    <row r="35" spans="1:17" ht="15.75" thickBot="1" x14ac:dyDescent="0.3"/>
    <row r="36" spans="1:17" ht="27.75" customHeight="1" x14ac:dyDescent="0.25">
      <c r="A36" s="146" t="s">
        <v>106</v>
      </c>
      <c r="B36" s="663" t="s">
        <v>107</v>
      </c>
      <c r="C36" s="665"/>
      <c r="D36" s="719"/>
      <c r="E36" s="710"/>
      <c r="F36" s="710"/>
      <c r="G36" s="660" t="str">
        <f>VLOOKUP("I15",Languages!A:J,VLOOKUP(Summary!X6,Languages!$C$2:$D$10,2,FALSE),FALSE)</f>
        <v>Sums</v>
      </c>
      <c r="H36" s="357"/>
      <c r="I36" s="358"/>
      <c r="J36" s="358"/>
      <c r="K36" s="360" t="str">
        <f>VLOOKUP("I16",Languages!A:J,VLOOKUP(Summary!X6,Languages!$C$2:$D$10,2,FALSE),FALSE)</f>
        <v>Total inv.</v>
      </c>
      <c r="L36" s="360" t="str">
        <f>VLOOKUP("I17",Languages!A:J,VLOOKUP(Summary!X6,Languages!$C$2:$D$10,2,FALSE),FALSE)</f>
        <v>One-Time</v>
      </c>
      <c r="M36" s="359" t="str">
        <f>VLOOKUP("I18",Languages!A:J,VLOOKUP(Summary!X6,Languages!$C$2:$D$10,2,FALSE),FALSE)</f>
        <v>Allocated</v>
      </c>
      <c r="N36" s="408" t="str">
        <f>VLOOKUP("I19",Languages!A:J,VLOOKUP(Summary!X6,Languages!$C$2:$D$10,2,FALSE),FALSE)</f>
        <v>Allocated total</v>
      </c>
      <c r="P36" s="430" t="str">
        <f>VLOOKUP("I22",Languages!A:J,VLOOKUP(Summary!X6,Languages!$C$2:$D$10,2,FALSE),FALSE)</f>
        <v>CF</v>
      </c>
      <c r="Q36" s="435" t="str">
        <f>VLOOKUP("I23",Languages!A:J,VLOOKUP(Summary!X6,Languages!$C$2:$D$10,2,FALSE),FALSE)</f>
        <v>CF total</v>
      </c>
    </row>
    <row r="37" spans="1:17" ht="15" customHeight="1" x14ac:dyDescent="0.25">
      <c r="B37" s="661" t="str">
        <f>VLOOKUP("I14",Languages!A:J,VLOOKUP(Summary!X6,Languages!$C$2:$D$10,2,FALSE),FALSE)</f>
        <v>Comments</v>
      </c>
      <c r="C37" s="718"/>
      <c r="D37" s="713"/>
      <c r="E37" s="713"/>
      <c r="F37" s="713"/>
      <c r="G37" s="661"/>
      <c r="H37" s="409"/>
      <c r="K37" s="599">
        <f>SUM(K16:K34)</f>
        <v>0</v>
      </c>
      <c r="L37" s="599">
        <f>SUM(L16:L34)</f>
        <v>0</v>
      </c>
      <c r="M37" s="599">
        <f>SUM(M17:M34)</f>
        <v>0</v>
      </c>
      <c r="N37" s="600">
        <f>SUM(N17:N34)</f>
        <v>0</v>
      </c>
      <c r="P37" s="601">
        <f>SUM(P17:P34)</f>
        <v>0</v>
      </c>
      <c r="Q37" s="602">
        <f>SUM(Q17:Q34)</f>
        <v>0</v>
      </c>
    </row>
    <row r="38" spans="1:17" x14ac:dyDescent="0.25">
      <c r="B38" s="288"/>
      <c r="C38" s="289"/>
      <c r="D38" s="713"/>
      <c r="E38" s="713"/>
      <c r="F38" s="713"/>
      <c r="G38" s="661"/>
      <c r="H38" s="409"/>
      <c r="K38" s="14"/>
      <c r="L38" s="14"/>
      <c r="N38" s="393"/>
      <c r="P38" s="431"/>
      <c r="Q38" s="432"/>
    </row>
    <row r="39" spans="1:17" ht="15.75" thickBot="1" x14ac:dyDescent="0.3">
      <c r="B39" s="136"/>
      <c r="C39" s="137"/>
      <c r="D39" s="716"/>
      <c r="E39" s="716"/>
      <c r="F39" s="716"/>
      <c r="G39" s="662"/>
      <c r="H39" s="410"/>
      <c r="I39" s="366"/>
      <c r="J39" s="366"/>
      <c r="K39" s="366"/>
      <c r="L39" s="366"/>
      <c r="M39" s="366"/>
      <c r="N39" s="395"/>
      <c r="P39" s="433"/>
      <c r="Q39" s="434"/>
    </row>
  </sheetData>
  <dataConsolidate/>
  <mergeCells count="18">
    <mergeCell ref="P12:Q12"/>
    <mergeCell ref="L3:N4"/>
    <mergeCell ref="E3:K6"/>
    <mergeCell ref="B12:F12"/>
    <mergeCell ref="G12:N12"/>
    <mergeCell ref="B36:C36"/>
    <mergeCell ref="L7:N7"/>
    <mergeCell ref="L8:N8"/>
    <mergeCell ref="L9:N9"/>
    <mergeCell ref="L10:N10"/>
    <mergeCell ref="G36:G39"/>
    <mergeCell ref="D36:F39"/>
    <mergeCell ref="G7:H7"/>
    <mergeCell ref="B37:C37"/>
    <mergeCell ref="G8:H8"/>
    <mergeCell ref="B9:D10"/>
    <mergeCell ref="G9:H9"/>
    <mergeCell ref="G10:H10"/>
  </mergeCells>
  <dataValidations disablePrompts="1" count="1">
    <dataValidation type="list" allowBlank="1" showInputMessage="1" showErrorMessage="1" sqref="G18:G34" xr:uid="{00000000-0002-0000-0300-000000000000}">
      <formula1>PurchasingCurrency</formula1>
    </dataValidation>
  </dataValidations>
  <printOptions horizontalCentered="1"/>
  <pageMargins left="0.39370078740157483" right="0.39370078740157483" top="0.39370078740157483" bottom="0.39370078740157483" header="0.31496062992125984" footer="0.31496062992125984"/>
  <pageSetup scale="84" orientation="landscape" r:id="rId1"/>
  <headerFooter>
    <oddFooter>&amp;LUnrestricted</oddFooter>
  </headerFooter>
  <customProperties>
    <customPr name="EpmWorksheetKeyString_GUI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17"/>
  <sheetViews>
    <sheetView showGridLines="0" zoomScale="90" zoomScaleNormal="90" workbookViewId="0">
      <selection activeCell="C32" sqref="C32"/>
    </sheetView>
  </sheetViews>
  <sheetFormatPr baseColWidth="10" defaultColWidth="9.140625" defaultRowHeight="15" x14ac:dyDescent="0.25"/>
  <cols>
    <col min="1" max="1" width="9.140625" style="30"/>
    <col min="2" max="2" width="55.5703125" customWidth="1"/>
    <col min="3" max="10" width="50.7109375" customWidth="1"/>
  </cols>
  <sheetData>
    <row r="1" spans="1:10" x14ac:dyDescent="0.25">
      <c r="B1" t="s">
        <v>108</v>
      </c>
      <c r="C1" s="73" t="s">
        <v>109</v>
      </c>
      <c r="D1" s="53"/>
    </row>
    <row r="2" spans="1:10" x14ac:dyDescent="0.25">
      <c r="C2" s="70" t="s">
        <v>3</v>
      </c>
      <c r="D2" s="66">
        <v>2</v>
      </c>
    </row>
    <row r="3" spans="1:10" x14ac:dyDescent="0.25">
      <c r="B3" s="78"/>
      <c r="C3" s="71" t="s">
        <v>110</v>
      </c>
      <c r="D3" s="67">
        <v>3</v>
      </c>
    </row>
    <row r="4" spans="1:10" x14ac:dyDescent="0.25">
      <c r="B4" s="78"/>
      <c r="C4" s="185" t="s">
        <v>111</v>
      </c>
      <c r="D4" s="67">
        <v>4</v>
      </c>
    </row>
    <row r="5" spans="1:10" x14ac:dyDescent="0.25">
      <c r="B5" s="78"/>
      <c r="C5" s="185" t="s">
        <v>112</v>
      </c>
      <c r="D5" s="67">
        <v>5</v>
      </c>
    </row>
    <row r="6" spans="1:10" x14ac:dyDescent="0.25">
      <c r="B6" s="78"/>
      <c r="C6" s="290" t="s">
        <v>113</v>
      </c>
      <c r="D6" s="80">
        <v>6</v>
      </c>
    </row>
    <row r="7" spans="1:10" x14ac:dyDescent="0.25">
      <c r="B7" s="78"/>
      <c r="C7" s="290" t="s">
        <v>114</v>
      </c>
      <c r="D7" s="80">
        <v>7</v>
      </c>
    </row>
    <row r="8" spans="1:10" x14ac:dyDescent="0.25">
      <c r="C8" s="290" t="s">
        <v>115</v>
      </c>
      <c r="D8" s="80">
        <v>8</v>
      </c>
    </row>
    <row r="9" spans="1:10" x14ac:dyDescent="0.25">
      <c r="C9" s="290"/>
      <c r="D9" s="80">
        <v>9</v>
      </c>
    </row>
    <row r="10" spans="1:10" x14ac:dyDescent="0.25">
      <c r="C10" s="186"/>
      <c r="D10" s="69">
        <v>10</v>
      </c>
    </row>
    <row r="12" spans="1:10" ht="15.75" thickBot="1" x14ac:dyDescent="0.3">
      <c r="B12" s="737" t="s">
        <v>116</v>
      </c>
      <c r="C12" s="738"/>
      <c r="D12" s="738"/>
      <c r="E12" s="738"/>
      <c r="F12" s="738"/>
      <c r="G12" s="738"/>
      <c r="H12" s="739"/>
      <c r="I12" s="737"/>
      <c r="J12" s="738"/>
    </row>
    <row r="13" spans="1:10" x14ac:dyDescent="0.25">
      <c r="B13" s="102" t="str">
        <f>C2</f>
        <v>English</v>
      </c>
      <c r="C13" s="106" t="s">
        <v>110</v>
      </c>
      <c r="D13" s="77" t="str">
        <f>C4</f>
        <v>Svenska</v>
      </c>
      <c r="E13" s="77" t="str">
        <f>C5</f>
        <v>Français</v>
      </c>
      <c r="F13" s="77" t="str">
        <f>C6</f>
        <v>Español</v>
      </c>
      <c r="G13" s="77" t="str">
        <f>C7</f>
        <v>Russian</v>
      </c>
      <c r="H13" s="77" t="str">
        <f>C8</f>
        <v>Chinese （简体中文）</v>
      </c>
      <c r="I13" s="293">
        <f>C9</f>
        <v>0</v>
      </c>
      <c r="J13" s="77">
        <f>C10</f>
        <v>0</v>
      </c>
    </row>
    <row r="14" spans="1:10" x14ac:dyDescent="0.25">
      <c r="A14" s="72" t="s">
        <v>117</v>
      </c>
      <c r="B14" s="103" t="s">
        <v>118</v>
      </c>
      <c r="C14" s="65" t="s">
        <v>118</v>
      </c>
      <c r="D14" s="65" t="s">
        <v>118</v>
      </c>
      <c r="E14" s="65" t="s">
        <v>118</v>
      </c>
      <c r="F14" s="65" t="s">
        <v>118</v>
      </c>
      <c r="G14" s="65" t="s">
        <v>118</v>
      </c>
      <c r="H14" s="65" t="s">
        <v>118</v>
      </c>
      <c r="I14" s="65"/>
      <c r="J14" s="65"/>
    </row>
    <row r="15" spans="1:10" x14ac:dyDescent="0.25">
      <c r="A15" s="72" t="s">
        <v>119</v>
      </c>
      <c r="B15" s="104" t="s">
        <v>120</v>
      </c>
      <c r="C15" s="64" t="s">
        <v>121</v>
      </c>
      <c r="D15" s="64" t="s">
        <v>122</v>
      </c>
      <c r="E15" s="64" t="s">
        <v>123</v>
      </c>
      <c r="F15" s="64" t="s">
        <v>124</v>
      </c>
      <c r="G15" s="64" t="s">
        <v>125</v>
      </c>
      <c r="H15" s="64" t="s">
        <v>126</v>
      </c>
      <c r="I15" s="64"/>
      <c r="J15" s="64"/>
    </row>
    <row r="16" spans="1:10" x14ac:dyDescent="0.25">
      <c r="A16" s="72" t="s">
        <v>127</v>
      </c>
      <c r="B16" s="104" t="s">
        <v>42</v>
      </c>
      <c r="C16" s="64" t="s">
        <v>42</v>
      </c>
      <c r="D16" s="64" t="s">
        <v>42</v>
      </c>
      <c r="E16" s="64" t="s">
        <v>128</v>
      </c>
      <c r="F16" s="64" t="s">
        <v>42</v>
      </c>
      <c r="G16" s="64" t="s">
        <v>129</v>
      </c>
      <c r="H16" s="64" t="s">
        <v>130</v>
      </c>
      <c r="I16" s="64"/>
      <c r="J16" s="64"/>
    </row>
    <row r="17" spans="1:10" x14ac:dyDescent="0.25">
      <c r="A17" s="72" t="s">
        <v>131</v>
      </c>
      <c r="B17" s="104" t="s">
        <v>132</v>
      </c>
      <c r="C17" s="64" t="s">
        <v>133</v>
      </c>
      <c r="D17" s="64" t="s">
        <v>134</v>
      </c>
      <c r="E17" s="64" t="s">
        <v>135</v>
      </c>
      <c r="F17" s="64" t="s">
        <v>136</v>
      </c>
      <c r="G17" s="64" t="s">
        <v>137</v>
      </c>
      <c r="H17" s="64" t="s">
        <v>138</v>
      </c>
      <c r="I17" s="64"/>
      <c r="J17" s="64"/>
    </row>
    <row r="18" spans="1:10" x14ac:dyDescent="0.25">
      <c r="A18" s="72" t="s">
        <v>139</v>
      </c>
      <c r="B18" s="116" t="s">
        <v>140</v>
      </c>
      <c r="C18" s="64" t="s">
        <v>141</v>
      </c>
      <c r="D18" s="64" t="s">
        <v>142</v>
      </c>
      <c r="E18" s="64" t="s">
        <v>143</v>
      </c>
      <c r="F18" s="64" t="s">
        <v>144</v>
      </c>
      <c r="G18" s="64" t="s">
        <v>145</v>
      </c>
      <c r="H18" s="64" t="s">
        <v>146</v>
      </c>
      <c r="I18" s="64"/>
      <c r="J18" s="64"/>
    </row>
    <row r="19" spans="1:10" x14ac:dyDescent="0.25">
      <c r="A19" s="30" t="s">
        <v>147</v>
      </c>
      <c r="B19" s="117" t="s">
        <v>148</v>
      </c>
      <c r="C19" s="79" t="s">
        <v>149</v>
      </c>
      <c r="D19" s="79" t="s">
        <v>150</v>
      </c>
      <c r="E19" s="79" t="s">
        <v>151</v>
      </c>
      <c r="F19" s="79" t="s">
        <v>152</v>
      </c>
      <c r="G19" s="79" t="s">
        <v>153</v>
      </c>
      <c r="H19" s="79" t="s">
        <v>154</v>
      </c>
      <c r="I19" s="79"/>
      <c r="J19" s="79"/>
    </row>
    <row r="20" spans="1:10" ht="15.75" thickBot="1" x14ac:dyDescent="0.3">
      <c r="A20" s="30" t="s">
        <v>155</v>
      </c>
      <c r="B20" s="105" t="s">
        <v>156</v>
      </c>
      <c r="C20" s="68" t="s">
        <v>157</v>
      </c>
      <c r="D20" s="68" t="s">
        <v>158</v>
      </c>
      <c r="E20" s="68" t="s">
        <v>159</v>
      </c>
      <c r="F20" s="68" t="s">
        <v>160</v>
      </c>
      <c r="G20" s="68" t="s">
        <v>161</v>
      </c>
      <c r="H20" s="68" t="s">
        <v>162</v>
      </c>
      <c r="I20" s="68"/>
      <c r="J20" s="68"/>
    </row>
    <row r="21" spans="1:10" ht="15.75" thickBot="1" x14ac:dyDescent="0.3"/>
    <row r="22" spans="1:10" ht="30" customHeight="1" thickBot="1" x14ac:dyDescent="0.3">
      <c r="B22" s="187" t="s">
        <v>120</v>
      </c>
      <c r="C22" s="29" t="s">
        <v>163</v>
      </c>
      <c r="D22" s="27" t="s">
        <v>164</v>
      </c>
      <c r="E22" s="27" t="s">
        <v>165</v>
      </c>
      <c r="F22" s="27" t="s">
        <v>166</v>
      </c>
      <c r="G22" s="27" t="s">
        <v>167</v>
      </c>
      <c r="H22" s="27"/>
      <c r="I22" s="27"/>
      <c r="J22" s="27"/>
    </row>
    <row r="23" spans="1:10" x14ac:dyDescent="0.25">
      <c r="B23" s="102" t="str">
        <f>C2</f>
        <v>English</v>
      </c>
      <c r="C23" s="106" t="str">
        <f>C3</f>
        <v>German</v>
      </c>
      <c r="D23" s="77" t="str">
        <f>C4</f>
        <v>Svenska</v>
      </c>
      <c r="E23" s="77" t="str">
        <f>C5</f>
        <v>Français</v>
      </c>
      <c r="F23" s="77" t="str">
        <f>C6</f>
        <v>Español</v>
      </c>
      <c r="G23" s="77" t="str">
        <f>C7</f>
        <v>Russian</v>
      </c>
      <c r="H23" s="77" t="str">
        <f>C8</f>
        <v>Chinese （简体中文）</v>
      </c>
      <c r="I23" s="77">
        <f>C9</f>
        <v>0</v>
      </c>
      <c r="J23" s="77">
        <f>C10</f>
        <v>0</v>
      </c>
    </row>
    <row r="24" spans="1:10" x14ac:dyDescent="0.25">
      <c r="A24" s="30" t="s">
        <v>168</v>
      </c>
      <c r="B24" s="103" t="s">
        <v>169</v>
      </c>
      <c r="C24" s="65" t="s">
        <v>170</v>
      </c>
      <c r="D24" s="65" t="s">
        <v>171</v>
      </c>
      <c r="E24" s="65" t="s">
        <v>172</v>
      </c>
      <c r="F24" s="65" t="s">
        <v>173</v>
      </c>
      <c r="G24" s="65" t="s">
        <v>174</v>
      </c>
      <c r="H24" s="65" t="s">
        <v>175</v>
      </c>
      <c r="I24" s="65"/>
      <c r="J24" s="65"/>
    </row>
    <row r="25" spans="1:10" x14ac:dyDescent="0.25">
      <c r="A25" s="30" t="s">
        <v>176</v>
      </c>
      <c r="B25" s="179" t="s">
        <v>177</v>
      </c>
      <c r="C25" s="180" t="s">
        <v>177</v>
      </c>
      <c r="D25" s="180" t="s">
        <v>177</v>
      </c>
      <c r="E25" s="180" t="s">
        <v>177</v>
      </c>
      <c r="F25" s="180" t="s">
        <v>177</v>
      </c>
      <c r="G25" s="180" t="s">
        <v>177</v>
      </c>
      <c r="H25" s="180" t="s">
        <v>177</v>
      </c>
      <c r="I25" s="180"/>
      <c r="J25" s="180"/>
    </row>
    <row r="26" spans="1:10" x14ac:dyDescent="0.25">
      <c r="A26" s="30" t="s">
        <v>178</v>
      </c>
      <c r="B26" s="179" t="s">
        <v>179</v>
      </c>
      <c r="C26" s="180" t="s">
        <v>179</v>
      </c>
      <c r="D26" s="180" t="s">
        <v>179</v>
      </c>
      <c r="E26" s="180" t="s">
        <v>179</v>
      </c>
      <c r="F26" s="180" t="s">
        <v>179</v>
      </c>
      <c r="G26" s="180" t="s">
        <v>179</v>
      </c>
      <c r="H26" s="180" t="s">
        <v>179</v>
      </c>
      <c r="I26" s="180"/>
      <c r="J26" s="180"/>
    </row>
    <row r="27" spans="1:10" x14ac:dyDescent="0.25">
      <c r="A27" s="30" t="s">
        <v>180</v>
      </c>
      <c r="B27" s="179" t="s">
        <v>181</v>
      </c>
      <c r="C27" s="180" t="s">
        <v>182</v>
      </c>
      <c r="D27" s="180" t="s">
        <v>183</v>
      </c>
      <c r="E27" s="180" t="s">
        <v>184</v>
      </c>
      <c r="F27" s="180" t="s">
        <v>185</v>
      </c>
      <c r="G27" s="180" t="s">
        <v>186</v>
      </c>
      <c r="H27" s="180" t="s">
        <v>187</v>
      </c>
      <c r="I27" s="180"/>
      <c r="J27" s="180"/>
    </row>
    <row r="28" spans="1:10" x14ac:dyDescent="0.25">
      <c r="A28" s="30" t="s">
        <v>188</v>
      </c>
      <c r="B28" s="179" t="s">
        <v>189</v>
      </c>
      <c r="C28" s="180" t="s">
        <v>190</v>
      </c>
      <c r="D28" s="180" t="s">
        <v>191</v>
      </c>
      <c r="E28" s="180" t="s">
        <v>192</v>
      </c>
      <c r="F28" s="180" t="s">
        <v>193</v>
      </c>
      <c r="G28" s="180" t="s">
        <v>194</v>
      </c>
      <c r="H28" s="180" t="s">
        <v>195</v>
      </c>
      <c r="I28" s="180"/>
      <c r="J28" s="180"/>
    </row>
    <row r="29" spans="1:10" x14ac:dyDescent="0.25">
      <c r="A29" s="30" t="s">
        <v>196</v>
      </c>
      <c r="B29" s="104" t="s">
        <v>197</v>
      </c>
      <c r="C29" s="64" t="s">
        <v>198</v>
      </c>
      <c r="D29" s="64" t="s">
        <v>199</v>
      </c>
      <c r="E29" s="64" t="s">
        <v>200</v>
      </c>
      <c r="F29" s="64" t="s">
        <v>201</v>
      </c>
      <c r="G29" s="64" t="s">
        <v>202</v>
      </c>
      <c r="H29" s="64" t="s">
        <v>203</v>
      </c>
      <c r="I29" s="64"/>
      <c r="J29" s="64"/>
    </row>
    <row r="30" spans="1:10" x14ac:dyDescent="0.25">
      <c r="A30" s="30" t="s">
        <v>204</v>
      </c>
      <c r="B30" s="104" t="s">
        <v>205</v>
      </c>
      <c r="C30" s="64" t="s">
        <v>205</v>
      </c>
      <c r="D30" s="64" t="s">
        <v>205</v>
      </c>
      <c r="E30" s="64" t="s">
        <v>206</v>
      </c>
      <c r="F30" s="64" t="s">
        <v>205</v>
      </c>
      <c r="G30" s="64" t="s">
        <v>206</v>
      </c>
      <c r="H30" s="64" t="s">
        <v>207</v>
      </c>
      <c r="I30" s="64"/>
      <c r="J30" s="64"/>
    </row>
    <row r="31" spans="1:10" x14ac:dyDescent="0.25">
      <c r="A31" s="30" t="s">
        <v>208</v>
      </c>
      <c r="B31" s="104" t="s">
        <v>209</v>
      </c>
      <c r="C31" s="64" t="s">
        <v>210</v>
      </c>
      <c r="D31" s="64" t="s">
        <v>210</v>
      </c>
      <c r="E31" s="64" t="s">
        <v>211</v>
      </c>
      <c r="F31" s="64" t="s">
        <v>212</v>
      </c>
      <c r="G31" s="64" t="s">
        <v>213</v>
      </c>
      <c r="H31" s="64" t="s">
        <v>214</v>
      </c>
      <c r="I31" s="64"/>
      <c r="J31" s="64"/>
    </row>
    <row r="32" spans="1:10" x14ac:dyDescent="0.25">
      <c r="A32" s="30" t="s">
        <v>215</v>
      </c>
      <c r="B32" s="104" t="s">
        <v>216</v>
      </c>
      <c r="C32" s="64" t="s">
        <v>217</v>
      </c>
      <c r="D32" s="64" t="s">
        <v>217</v>
      </c>
      <c r="E32" s="64" t="s">
        <v>218</v>
      </c>
      <c r="F32" s="64" t="s">
        <v>219</v>
      </c>
      <c r="G32" s="64" t="s">
        <v>220</v>
      </c>
      <c r="H32" s="64" t="s">
        <v>221</v>
      </c>
      <c r="I32" s="64"/>
      <c r="J32" s="64"/>
    </row>
    <row r="33" spans="1:10" x14ac:dyDescent="0.25">
      <c r="A33" s="30" t="s">
        <v>222</v>
      </c>
      <c r="B33" s="104" t="s">
        <v>223</v>
      </c>
      <c r="C33" s="64" t="s">
        <v>224</v>
      </c>
      <c r="D33" s="64" t="s">
        <v>225</v>
      </c>
      <c r="E33" s="64" t="s">
        <v>226</v>
      </c>
      <c r="F33" s="64" t="s">
        <v>227</v>
      </c>
      <c r="G33" s="64" t="s">
        <v>228</v>
      </c>
      <c r="H33" s="64" t="s">
        <v>229</v>
      </c>
      <c r="I33" s="64"/>
      <c r="J33" s="64"/>
    </row>
    <row r="34" spans="1:10" x14ac:dyDescent="0.25">
      <c r="A34" s="30" t="s">
        <v>230</v>
      </c>
      <c r="B34" s="104" t="s">
        <v>231</v>
      </c>
      <c r="C34" s="64" t="s">
        <v>232</v>
      </c>
      <c r="D34" s="64" t="s">
        <v>233</v>
      </c>
      <c r="E34" s="64" t="s">
        <v>234</v>
      </c>
      <c r="F34" s="64" t="s">
        <v>235</v>
      </c>
      <c r="G34" s="64" t="s">
        <v>236</v>
      </c>
      <c r="H34" s="64" t="s">
        <v>237</v>
      </c>
      <c r="I34" s="64"/>
      <c r="J34" s="64"/>
    </row>
    <row r="35" spans="1:10" x14ac:dyDescent="0.25">
      <c r="A35" s="30" t="s">
        <v>238</v>
      </c>
      <c r="B35" s="104" t="s">
        <v>239</v>
      </c>
      <c r="C35" s="64" t="s">
        <v>240</v>
      </c>
      <c r="D35" s="64" t="s">
        <v>241</v>
      </c>
      <c r="E35" s="64" t="s">
        <v>242</v>
      </c>
      <c r="F35" s="64" t="s">
        <v>243</v>
      </c>
      <c r="G35" s="64" t="s">
        <v>244</v>
      </c>
      <c r="H35" s="64" t="s">
        <v>245</v>
      </c>
      <c r="I35" s="64"/>
      <c r="J35" s="64"/>
    </row>
    <row r="36" spans="1:10" x14ac:dyDescent="0.25">
      <c r="A36" s="30" t="s">
        <v>246</v>
      </c>
      <c r="B36" s="104" t="s">
        <v>247</v>
      </c>
      <c r="C36" s="64" t="s">
        <v>248</v>
      </c>
      <c r="D36" s="64" t="s">
        <v>249</v>
      </c>
      <c r="E36" s="64" t="s">
        <v>250</v>
      </c>
      <c r="F36" s="64" t="s">
        <v>251</v>
      </c>
      <c r="G36" s="64" t="s">
        <v>252</v>
      </c>
      <c r="H36" s="64" t="s">
        <v>253</v>
      </c>
      <c r="I36" s="64"/>
      <c r="J36" s="64"/>
    </row>
    <row r="37" spans="1:10" x14ac:dyDescent="0.25">
      <c r="A37" s="30" t="s">
        <v>254</v>
      </c>
      <c r="B37" s="104" t="s">
        <v>255</v>
      </c>
      <c r="C37" s="64" t="s">
        <v>256</v>
      </c>
      <c r="D37" s="64" t="s">
        <v>257</v>
      </c>
      <c r="E37" s="64" t="s">
        <v>258</v>
      </c>
      <c r="F37" s="64" t="s">
        <v>259</v>
      </c>
      <c r="G37" s="64" t="s">
        <v>260</v>
      </c>
      <c r="H37" s="64" t="s">
        <v>261</v>
      </c>
      <c r="I37" s="64"/>
      <c r="J37" s="64"/>
    </row>
    <row r="38" spans="1:10" x14ac:dyDescent="0.25">
      <c r="A38" s="30" t="s">
        <v>262</v>
      </c>
      <c r="B38" s="104" t="s">
        <v>263</v>
      </c>
      <c r="C38" s="64" t="s">
        <v>264</v>
      </c>
      <c r="D38" s="64" t="s">
        <v>265</v>
      </c>
      <c r="E38" s="64" t="s">
        <v>266</v>
      </c>
      <c r="F38" s="64" t="s">
        <v>267</v>
      </c>
      <c r="G38" s="64" t="s">
        <v>268</v>
      </c>
      <c r="H38" s="64" t="s">
        <v>269</v>
      </c>
      <c r="I38" s="64"/>
      <c r="J38" s="64"/>
    </row>
    <row r="39" spans="1:10" x14ac:dyDescent="0.25">
      <c r="A39" s="30" t="s">
        <v>270</v>
      </c>
      <c r="B39" s="104" t="s">
        <v>271</v>
      </c>
      <c r="C39" s="64" t="s">
        <v>272</v>
      </c>
      <c r="D39" s="64" t="s">
        <v>273</v>
      </c>
      <c r="E39" s="64" t="s">
        <v>274</v>
      </c>
      <c r="F39" s="64" t="s">
        <v>275</v>
      </c>
      <c r="G39" s="64" t="s">
        <v>276</v>
      </c>
      <c r="H39" s="64" t="s">
        <v>277</v>
      </c>
      <c r="I39" s="64"/>
      <c r="J39" s="64"/>
    </row>
    <row r="40" spans="1:10" x14ac:dyDescent="0.25">
      <c r="A40" s="30" t="s">
        <v>278</v>
      </c>
      <c r="B40" s="104" t="s">
        <v>279</v>
      </c>
      <c r="C40" s="64" t="s">
        <v>280</v>
      </c>
      <c r="D40" s="64" t="s">
        <v>281</v>
      </c>
      <c r="E40" s="64" t="s">
        <v>282</v>
      </c>
      <c r="F40" s="64" t="s">
        <v>283</v>
      </c>
      <c r="G40" s="64" t="s">
        <v>284</v>
      </c>
      <c r="H40" s="64" t="s">
        <v>285</v>
      </c>
      <c r="I40" s="64"/>
      <c r="J40" s="64"/>
    </row>
    <row r="41" spans="1:10" x14ac:dyDescent="0.25">
      <c r="A41" s="30" t="s">
        <v>286</v>
      </c>
      <c r="B41" s="104" t="s">
        <v>287</v>
      </c>
      <c r="C41" s="64" t="s">
        <v>288</v>
      </c>
      <c r="D41" s="64" t="s">
        <v>289</v>
      </c>
      <c r="E41" s="64" t="s">
        <v>290</v>
      </c>
      <c r="F41" s="64" t="s">
        <v>291</v>
      </c>
      <c r="G41" s="64" t="s">
        <v>292</v>
      </c>
      <c r="H41" s="64" t="s">
        <v>293</v>
      </c>
      <c r="I41" s="64"/>
      <c r="J41" s="64"/>
    </row>
    <row r="42" spans="1:10" x14ac:dyDescent="0.25">
      <c r="A42" s="30" t="s">
        <v>294</v>
      </c>
      <c r="B42" s="104" t="s">
        <v>295</v>
      </c>
      <c r="C42" s="64" t="s">
        <v>296</v>
      </c>
      <c r="D42" s="64" t="s">
        <v>297</v>
      </c>
      <c r="E42" s="64" t="s">
        <v>298</v>
      </c>
      <c r="F42" s="64" t="s">
        <v>299</v>
      </c>
      <c r="G42" s="64" t="s">
        <v>300</v>
      </c>
      <c r="H42" s="64" t="s">
        <v>301</v>
      </c>
      <c r="I42" s="64"/>
      <c r="J42" s="64"/>
    </row>
    <row r="43" spans="1:10" x14ac:dyDescent="0.25">
      <c r="A43" s="30" t="s">
        <v>302</v>
      </c>
      <c r="B43" s="104" t="s">
        <v>303</v>
      </c>
      <c r="C43" s="81" t="s">
        <v>304</v>
      </c>
      <c r="D43" s="64" t="s">
        <v>305</v>
      </c>
      <c r="E43" s="64" t="s">
        <v>306</v>
      </c>
      <c r="F43" s="64" t="s">
        <v>307</v>
      </c>
      <c r="G43" s="64" t="s">
        <v>308</v>
      </c>
      <c r="H43" s="64" t="s">
        <v>309</v>
      </c>
      <c r="I43" s="64"/>
      <c r="J43" s="64"/>
    </row>
    <row r="44" spans="1:10" x14ac:dyDescent="0.25">
      <c r="A44" s="30" t="s">
        <v>310</v>
      </c>
      <c r="B44" s="104" t="s">
        <v>311</v>
      </c>
      <c r="C44" s="64" t="s">
        <v>312</v>
      </c>
      <c r="D44" s="64" t="s">
        <v>313</v>
      </c>
      <c r="E44" s="64" t="s">
        <v>314</v>
      </c>
      <c r="F44" s="64" t="s">
        <v>315</v>
      </c>
      <c r="G44" s="64" t="s">
        <v>316</v>
      </c>
      <c r="H44" s="64" t="s">
        <v>317</v>
      </c>
      <c r="I44" s="64"/>
      <c r="J44" s="64"/>
    </row>
    <row r="45" spans="1:10" x14ac:dyDescent="0.25">
      <c r="A45" s="30" t="s">
        <v>318</v>
      </c>
      <c r="B45" s="104"/>
      <c r="C45" s="64"/>
      <c r="D45" s="64"/>
      <c r="E45" s="64"/>
      <c r="F45" s="64"/>
      <c r="G45" s="64"/>
      <c r="H45" s="64"/>
      <c r="I45" s="64"/>
      <c r="J45" s="64"/>
    </row>
    <row r="46" spans="1:10" x14ac:dyDescent="0.25">
      <c r="A46" s="30" t="s">
        <v>319</v>
      </c>
      <c r="B46" s="104"/>
      <c r="C46" s="81"/>
      <c r="D46" s="64"/>
      <c r="E46" s="64"/>
      <c r="F46" s="64"/>
      <c r="G46" s="64"/>
      <c r="H46" s="64"/>
      <c r="I46" s="64"/>
      <c r="J46" s="64"/>
    </row>
    <row r="47" spans="1:10" x14ac:dyDescent="0.25">
      <c r="A47" s="30" t="s">
        <v>320</v>
      </c>
      <c r="B47" s="104"/>
      <c r="C47" s="81"/>
      <c r="D47" s="64"/>
      <c r="E47" s="64"/>
      <c r="F47" s="64"/>
      <c r="G47" s="64"/>
      <c r="H47" s="180"/>
      <c r="I47" s="180"/>
      <c r="J47" s="180"/>
    </row>
    <row r="48" spans="1:10" x14ac:dyDescent="0.25">
      <c r="A48" s="30" t="s">
        <v>321</v>
      </c>
      <c r="B48" s="104"/>
      <c r="C48" s="81"/>
      <c r="D48" s="64"/>
      <c r="E48" s="64"/>
      <c r="F48" s="64"/>
      <c r="G48" s="64"/>
      <c r="H48" s="180"/>
      <c r="I48" s="180"/>
      <c r="J48" s="180"/>
    </row>
    <row r="49" spans="1:10" x14ac:dyDescent="0.25">
      <c r="A49" s="30" t="s">
        <v>322</v>
      </c>
      <c r="B49" s="104"/>
      <c r="C49" s="81"/>
      <c r="D49" s="64"/>
      <c r="E49" s="64"/>
      <c r="F49" s="64"/>
      <c r="G49" s="64"/>
      <c r="H49" s="180"/>
      <c r="I49" s="180"/>
      <c r="J49" s="180"/>
    </row>
    <row r="50" spans="1:10" x14ac:dyDescent="0.25">
      <c r="A50" s="30" t="s">
        <v>323</v>
      </c>
      <c r="B50" s="104"/>
      <c r="C50" s="81"/>
      <c r="D50" s="79"/>
      <c r="E50" s="64"/>
      <c r="F50" s="64"/>
      <c r="G50" s="64"/>
      <c r="H50" s="180"/>
      <c r="I50" s="180"/>
      <c r="J50" s="180"/>
    </row>
    <row r="51" spans="1:10" x14ac:dyDescent="0.25">
      <c r="A51" s="30" t="s">
        <v>324</v>
      </c>
      <c r="B51" s="104" t="s">
        <v>325</v>
      </c>
      <c r="C51" s="81" t="s">
        <v>326</v>
      </c>
      <c r="D51" s="64" t="s">
        <v>327</v>
      </c>
      <c r="E51" s="64" t="s">
        <v>328</v>
      </c>
      <c r="F51" s="64" t="s">
        <v>329</v>
      </c>
      <c r="G51" s="64" t="s">
        <v>330</v>
      </c>
      <c r="H51" s="64" t="s">
        <v>331</v>
      </c>
      <c r="I51" s="64"/>
      <c r="J51" s="64"/>
    </row>
    <row r="52" spans="1:10" x14ac:dyDescent="0.25">
      <c r="A52" s="30" t="s">
        <v>332</v>
      </c>
      <c r="B52" s="104" t="s">
        <v>333</v>
      </c>
      <c r="C52" s="81" t="s">
        <v>334</v>
      </c>
      <c r="D52" s="180" t="s">
        <v>335</v>
      </c>
      <c r="E52" s="64" t="s">
        <v>336</v>
      </c>
      <c r="F52" s="64" t="s">
        <v>337</v>
      </c>
      <c r="G52" s="64" t="s">
        <v>338</v>
      </c>
      <c r="H52" s="64" t="s">
        <v>339</v>
      </c>
      <c r="I52" s="64"/>
      <c r="J52" s="64"/>
    </row>
    <row r="53" spans="1:10" x14ac:dyDescent="0.25">
      <c r="A53" s="30" t="s">
        <v>340</v>
      </c>
      <c r="B53" s="104" t="s">
        <v>341</v>
      </c>
      <c r="C53" s="81" t="s">
        <v>342</v>
      </c>
      <c r="D53" s="180" t="s">
        <v>343</v>
      </c>
      <c r="E53" s="64" t="s">
        <v>341</v>
      </c>
      <c r="F53" s="64" t="s">
        <v>344</v>
      </c>
      <c r="G53" s="64" t="s">
        <v>345</v>
      </c>
      <c r="H53" s="64" t="s">
        <v>346</v>
      </c>
      <c r="I53" s="64"/>
      <c r="J53" s="64"/>
    </row>
    <row r="54" spans="1:10" x14ac:dyDescent="0.25">
      <c r="A54" s="30">
        <v>1</v>
      </c>
      <c r="B54" s="104" t="s">
        <v>347</v>
      </c>
      <c r="C54" s="81" t="s">
        <v>348</v>
      </c>
      <c r="D54" s="180" t="s">
        <v>349</v>
      </c>
      <c r="E54" s="64" t="s">
        <v>350</v>
      </c>
      <c r="F54" s="64" t="s">
        <v>351</v>
      </c>
      <c r="G54" s="64" t="s">
        <v>352</v>
      </c>
      <c r="H54" s="64" t="s">
        <v>353</v>
      </c>
      <c r="I54" s="64"/>
      <c r="J54" s="64"/>
    </row>
    <row r="55" spans="1:10" x14ac:dyDescent="0.25">
      <c r="A55" s="30">
        <v>2</v>
      </c>
      <c r="B55" s="104" t="s">
        <v>354</v>
      </c>
      <c r="C55" s="81" t="s">
        <v>355</v>
      </c>
      <c r="D55" s="64" t="s">
        <v>356</v>
      </c>
      <c r="E55" s="64" t="s">
        <v>357</v>
      </c>
      <c r="F55" s="64" t="s">
        <v>358</v>
      </c>
      <c r="G55" s="64" t="s">
        <v>359</v>
      </c>
      <c r="H55" s="64" t="s">
        <v>360</v>
      </c>
      <c r="I55" s="64"/>
      <c r="J55" s="64"/>
    </row>
    <row r="56" spans="1:10" x14ac:dyDescent="0.25">
      <c r="A56" s="491">
        <v>3</v>
      </c>
      <c r="B56" s="104" t="s">
        <v>361</v>
      </c>
      <c r="C56" s="81" t="s">
        <v>362</v>
      </c>
      <c r="D56" s="180" t="s">
        <v>363</v>
      </c>
      <c r="E56" s="64" t="s">
        <v>364</v>
      </c>
      <c r="F56" s="64" t="s">
        <v>365</v>
      </c>
      <c r="G56" s="64" t="s">
        <v>366</v>
      </c>
      <c r="H56" s="64" t="s">
        <v>367</v>
      </c>
      <c r="I56" s="64"/>
      <c r="J56" s="64"/>
    </row>
    <row r="57" spans="1:10" x14ac:dyDescent="0.25">
      <c r="A57" s="30">
        <v>4</v>
      </c>
      <c r="B57" s="104" t="s">
        <v>368</v>
      </c>
      <c r="C57" s="81" t="s">
        <v>369</v>
      </c>
      <c r="D57" s="64" t="s">
        <v>370</v>
      </c>
      <c r="E57" s="64" t="s">
        <v>371</v>
      </c>
      <c r="F57" s="64" t="s">
        <v>372</v>
      </c>
      <c r="G57" s="64" t="s">
        <v>373</v>
      </c>
      <c r="H57" s="64" t="s">
        <v>374</v>
      </c>
      <c r="I57" s="64"/>
      <c r="J57" s="64"/>
    </row>
    <row r="58" spans="1:10" x14ac:dyDescent="0.25">
      <c r="A58" s="30">
        <v>5</v>
      </c>
      <c r="B58" s="104" t="s">
        <v>375</v>
      </c>
      <c r="C58" s="81" t="s">
        <v>376</v>
      </c>
      <c r="D58" s="64" t="s">
        <v>377</v>
      </c>
      <c r="E58" s="64" t="s">
        <v>378</v>
      </c>
      <c r="F58" s="64" t="s">
        <v>379</v>
      </c>
      <c r="G58" s="64" t="s">
        <v>380</v>
      </c>
      <c r="H58" s="64" t="s">
        <v>381</v>
      </c>
      <c r="I58" s="64"/>
      <c r="J58" s="64"/>
    </row>
    <row r="59" spans="1:10" x14ac:dyDescent="0.25">
      <c r="A59" s="30">
        <v>6</v>
      </c>
      <c r="B59" s="104" t="s">
        <v>382</v>
      </c>
      <c r="C59" s="81" t="s">
        <v>383</v>
      </c>
      <c r="D59" s="64" t="s">
        <v>384</v>
      </c>
      <c r="E59" s="64" t="s">
        <v>385</v>
      </c>
      <c r="F59" s="64" t="s">
        <v>386</v>
      </c>
      <c r="G59" s="64" t="s">
        <v>387</v>
      </c>
      <c r="H59" s="64" t="s">
        <v>388</v>
      </c>
    </row>
    <row r="60" spans="1:10" x14ac:dyDescent="0.25">
      <c r="A60" s="491">
        <v>7</v>
      </c>
      <c r="B60" s="104" t="s">
        <v>42</v>
      </c>
      <c r="C60" s="81" t="s">
        <v>389</v>
      </c>
      <c r="D60" s="64" t="s">
        <v>390</v>
      </c>
      <c r="E60" s="64" t="s">
        <v>391</v>
      </c>
      <c r="F60" s="64" t="s">
        <v>392</v>
      </c>
      <c r="G60" s="64" t="s">
        <v>393</v>
      </c>
      <c r="H60" s="64" t="s">
        <v>394</v>
      </c>
    </row>
    <row r="61" spans="1:10" x14ac:dyDescent="0.25">
      <c r="A61" s="30">
        <v>8</v>
      </c>
      <c r="B61" s="104" t="s">
        <v>395</v>
      </c>
      <c r="C61" s="81" t="s">
        <v>396</v>
      </c>
      <c r="D61" s="64" t="s">
        <v>397</v>
      </c>
      <c r="E61" s="64" t="s">
        <v>395</v>
      </c>
      <c r="F61" s="64" t="s">
        <v>398</v>
      </c>
      <c r="G61" s="64" t="s">
        <v>399</v>
      </c>
      <c r="H61" s="64" t="s">
        <v>400</v>
      </c>
    </row>
    <row r="62" spans="1:10" x14ac:dyDescent="0.25">
      <c r="A62" s="30">
        <v>9</v>
      </c>
      <c r="B62" s="104" t="s">
        <v>401</v>
      </c>
      <c r="C62" s="81" t="s">
        <v>402</v>
      </c>
      <c r="D62" s="64" t="s">
        <v>403</v>
      </c>
      <c r="E62" s="64" t="s">
        <v>404</v>
      </c>
      <c r="F62" s="64" t="s">
        <v>405</v>
      </c>
      <c r="G62" s="64" t="s">
        <v>406</v>
      </c>
      <c r="H62" s="64" t="s">
        <v>407</v>
      </c>
      <c r="I62" s="64"/>
      <c r="J62" s="64"/>
    </row>
    <row r="63" spans="1:10" x14ac:dyDescent="0.25">
      <c r="A63" s="30">
        <v>10</v>
      </c>
      <c r="B63" s="104" t="s">
        <v>408</v>
      </c>
      <c r="C63" s="81" t="s">
        <v>409</v>
      </c>
      <c r="D63" s="64" t="s">
        <v>410</v>
      </c>
      <c r="E63" s="64" t="s">
        <v>411</v>
      </c>
      <c r="F63" s="64" t="s">
        <v>412</v>
      </c>
      <c r="G63" s="64" t="s">
        <v>413</v>
      </c>
      <c r="H63" s="64" t="s">
        <v>414</v>
      </c>
      <c r="I63" s="64"/>
      <c r="J63" s="64"/>
    </row>
    <row r="64" spans="1:10" x14ac:dyDescent="0.25">
      <c r="A64" s="30">
        <v>11</v>
      </c>
      <c r="B64" s="104" t="s">
        <v>415</v>
      </c>
      <c r="C64" s="81" t="s">
        <v>416</v>
      </c>
      <c r="D64" s="64" t="s">
        <v>417</v>
      </c>
      <c r="E64" s="64" t="s">
        <v>418</v>
      </c>
      <c r="F64" s="64" t="s">
        <v>419</v>
      </c>
      <c r="G64" s="64" t="s">
        <v>420</v>
      </c>
      <c r="H64" s="64" t="s">
        <v>421</v>
      </c>
      <c r="I64" s="64"/>
      <c r="J64" s="64"/>
    </row>
    <row r="65" spans="1:10" x14ac:dyDescent="0.25">
      <c r="A65" s="30">
        <v>12</v>
      </c>
      <c r="B65" s="104" t="s">
        <v>422</v>
      </c>
      <c r="C65" s="81" t="s">
        <v>423</v>
      </c>
      <c r="D65" t="s">
        <v>424</v>
      </c>
      <c r="E65" s="64" t="s">
        <v>425</v>
      </c>
      <c r="F65" s="64" t="s">
        <v>426</v>
      </c>
      <c r="G65" s="64" t="s">
        <v>427</v>
      </c>
      <c r="H65" s="64" t="s">
        <v>428</v>
      </c>
      <c r="I65" s="64"/>
      <c r="J65" s="64"/>
    </row>
    <row r="66" spans="1:10" x14ac:dyDescent="0.25">
      <c r="A66" s="30">
        <v>13</v>
      </c>
      <c r="B66" s="104" t="s">
        <v>429</v>
      </c>
      <c r="C66" s="81" t="s">
        <v>430</v>
      </c>
      <c r="D66" t="s">
        <v>431</v>
      </c>
      <c r="E66" s="64" t="s">
        <v>432</v>
      </c>
      <c r="F66" s="64" t="s">
        <v>433</v>
      </c>
      <c r="G66" s="64" t="s">
        <v>434</v>
      </c>
      <c r="H66" s="64" t="s">
        <v>435</v>
      </c>
      <c r="I66" s="64"/>
      <c r="J66" s="64"/>
    </row>
    <row r="67" spans="1:10" x14ac:dyDescent="0.25">
      <c r="A67" s="30">
        <v>14</v>
      </c>
      <c r="B67" s="104" t="s">
        <v>436</v>
      </c>
      <c r="C67" s="81" t="s">
        <v>437</v>
      </c>
      <c r="D67" s="64" t="s">
        <v>438</v>
      </c>
      <c r="E67" s="64" t="s">
        <v>439</v>
      </c>
      <c r="F67" s="64" t="s">
        <v>440</v>
      </c>
      <c r="G67" s="64" t="s">
        <v>441</v>
      </c>
      <c r="H67" s="64" t="s">
        <v>442</v>
      </c>
      <c r="I67" s="64"/>
      <c r="J67" s="64"/>
    </row>
    <row r="68" spans="1:10" x14ac:dyDescent="0.25">
      <c r="A68" s="30">
        <v>15</v>
      </c>
      <c r="B68" s="104" t="s">
        <v>443</v>
      </c>
      <c r="C68" s="81" t="s">
        <v>444</v>
      </c>
      <c r="D68" s="64" t="s">
        <v>445</v>
      </c>
      <c r="E68" s="64" t="s">
        <v>446</v>
      </c>
      <c r="F68" s="64" t="s">
        <v>447</v>
      </c>
      <c r="G68" s="64" t="s">
        <v>448</v>
      </c>
      <c r="H68" s="64" t="s">
        <v>449</v>
      </c>
      <c r="I68" s="64"/>
      <c r="J68" s="64"/>
    </row>
    <row r="69" spans="1:10" x14ac:dyDescent="0.25">
      <c r="A69" s="30">
        <v>16</v>
      </c>
      <c r="B69" s="104" t="s">
        <v>450</v>
      </c>
      <c r="C69" s="81" t="s">
        <v>451</v>
      </c>
      <c r="D69" s="64" t="s">
        <v>452</v>
      </c>
      <c r="E69" s="64" t="s">
        <v>453</v>
      </c>
      <c r="F69" s="64" t="s">
        <v>454</v>
      </c>
      <c r="G69" s="64" t="s">
        <v>455</v>
      </c>
      <c r="H69" s="64" t="s">
        <v>456</v>
      </c>
      <c r="I69" s="64"/>
      <c r="J69" s="64"/>
    </row>
    <row r="70" spans="1:10" x14ac:dyDescent="0.25">
      <c r="A70" s="30">
        <v>17</v>
      </c>
      <c r="B70" s="104" t="s">
        <v>457</v>
      </c>
      <c r="C70" s="81" t="s">
        <v>458</v>
      </c>
      <c r="D70" s="64" t="s">
        <v>459</v>
      </c>
      <c r="E70" s="64" t="s">
        <v>460</v>
      </c>
      <c r="F70" s="64" t="s">
        <v>461</v>
      </c>
      <c r="G70" s="64" t="s">
        <v>462</v>
      </c>
      <c r="H70" s="292" t="s">
        <v>463</v>
      </c>
      <c r="I70" s="64"/>
      <c r="J70" s="64"/>
    </row>
    <row r="71" spans="1:10" x14ac:dyDescent="0.25">
      <c r="A71" s="30">
        <v>18</v>
      </c>
      <c r="B71" s="104" t="s">
        <v>464</v>
      </c>
      <c r="C71" s="81" t="s">
        <v>465</v>
      </c>
      <c r="D71" t="s">
        <v>466</v>
      </c>
      <c r="E71" s="64" t="s">
        <v>467</v>
      </c>
      <c r="F71" s="64" t="s">
        <v>468</v>
      </c>
      <c r="G71" s="64" t="s">
        <v>469</v>
      </c>
      <c r="H71" s="64" t="s">
        <v>470</v>
      </c>
      <c r="I71" s="64"/>
      <c r="J71" s="64"/>
    </row>
    <row r="72" spans="1:10" x14ac:dyDescent="0.25">
      <c r="A72" s="30">
        <v>19</v>
      </c>
      <c r="B72" s="104" t="s">
        <v>471</v>
      </c>
      <c r="C72" s="81" t="s">
        <v>472</v>
      </c>
      <c r="D72" t="s">
        <v>473</v>
      </c>
      <c r="E72" s="64" t="s">
        <v>474</v>
      </c>
      <c r="F72" s="64" t="s">
        <v>475</v>
      </c>
      <c r="G72" s="64" t="s">
        <v>476</v>
      </c>
      <c r="H72" s="292" t="s">
        <v>477</v>
      </c>
      <c r="I72" s="64"/>
      <c r="J72" s="64"/>
    </row>
    <row r="73" spans="1:10" x14ac:dyDescent="0.25">
      <c r="A73" s="30">
        <v>20</v>
      </c>
      <c r="B73" s="104" t="s">
        <v>478</v>
      </c>
      <c r="C73" s="81" t="s">
        <v>479</v>
      </c>
      <c r="D73" s="64" t="s">
        <v>480</v>
      </c>
      <c r="E73" s="64" t="s">
        <v>481</v>
      </c>
      <c r="F73" s="64" t="s">
        <v>482</v>
      </c>
      <c r="G73" s="64" t="s">
        <v>483</v>
      </c>
      <c r="H73" s="64" t="s">
        <v>484</v>
      </c>
      <c r="I73" s="64"/>
      <c r="J73" s="64"/>
    </row>
    <row r="74" spans="1:10" x14ac:dyDescent="0.25">
      <c r="A74" s="30">
        <v>21</v>
      </c>
      <c r="B74" s="104" t="s">
        <v>485</v>
      </c>
      <c r="C74" s="81" t="s">
        <v>486</v>
      </c>
      <c r="D74" s="64" t="s">
        <v>487</v>
      </c>
      <c r="E74" s="64" t="s">
        <v>488</v>
      </c>
      <c r="F74" s="64" t="s">
        <v>489</v>
      </c>
      <c r="G74" s="64" t="s">
        <v>490</v>
      </c>
      <c r="H74" s="64" t="s">
        <v>491</v>
      </c>
      <c r="I74" s="64"/>
      <c r="J74" s="64"/>
    </row>
    <row r="75" spans="1:10" x14ac:dyDescent="0.25">
      <c r="A75" s="30">
        <v>22</v>
      </c>
      <c r="B75" s="104" t="s">
        <v>492</v>
      </c>
      <c r="C75" s="81" t="s">
        <v>493</v>
      </c>
      <c r="D75" s="64" t="s">
        <v>494</v>
      </c>
      <c r="E75" s="64" t="s">
        <v>495</v>
      </c>
      <c r="F75" s="64" t="s">
        <v>496</v>
      </c>
      <c r="G75" s="64" t="s">
        <v>497</v>
      </c>
      <c r="H75" s="64" t="s">
        <v>498</v>
      </c>
      <c r="I75" s="64"/>
      <c r="J75" s="64"/>
    </row>
    <row r="76" spans="1:10" x14ac:dyDescent="0.25">
      <c r="A76" s="491">
        <v>23</v>
      </c>
      <c r="B76" s="104" t="s">
        <v>499</v>
      </c>
      <c r="C76" s="81" t="s">
        <v>500</v>
      </c>
      <c r="D76" s="64" t="s">
        <v>501</v>
      </c>
      <c r="E76" s="64" t="s">
        <v>502</v>
      </c>
      <c r="F76" s="64" t="s">
        <v>503</v>
      </c>
      <c r="G76" s="64" t="s">
        <v>504</v>
      </c>
      <c r="H76" s="64" t="s">
        <v>505</v>
      </c>
      <c r="I76" s="64"/>
      <c r="J76" s="64"/>
    </row>
    <row r="77" spans="1:10" x14ac:dyDescent="0.25">
      <c r="A77" s="30">
        <v>24</v>
      </c>
      <c r="B77" s="104" t="s">
        <v>506</v>
      </c>
      <c r="C77" s="7" t="s">
        <v>507</v>
      </c>
      <c r="D77" s="81" t="s">
        <v>508</v>
      </c>
      <c r="E77" s="64" t="s">
        <v>509</v>
      </c>
      <c r="F77" s="64" t="s">
        <v>510</v>
      </c>
      <c r="G77" s="64" t="s">
        <v>511</v>
      </c>
      <c r="H77" s="64" t="s">
        <v>512</v>
      </c>
      <c r="I77" s="64"/>
      <c r="J77" s="64"/>
    </row>
    <row r="78" spans="1:10" x14ac:dyDescent="0.25">
      <c r="A78" s="30">
        <v>25</v>
      </c>
      <c r="B78" s="104" t="s">
        <v>513</v>
      </c>
      <c r="C78" s="81" t="s">
        <v>514</v>
      </c>
      <c r="D78" s="64" t="s">
        <v>515</v>
      </c>
      <c r="E78" s="64" t="s">
        <v>516</v>
      </c>
      <c r="F78" s="64" t="s">
        <v>517</v>
      </c>
      <c r="G78" s="64" t="s">
        <v>518</v>
      </c>
      <c r="H78" s="64" t="s">
        <v>519</v>
      </c>
      <c r="I78" s="64"/>
      <c r="J78" s="64"/>
    </row>
    <row r="79" spans="1:10" x14ac:dyDescent="0.25">
      <c r="A79" s="30">
        <v>26</v>
      </c>
      <c r="B79" s="104" t="s">
        <v>520</v>
      </c>
      <c r="C79" s="178" t="s">
        <v>521</v>
      </c>
      <c r="D79" s="81" t="s">
        <v>522</v>
      </c>
      <c r="E79" s="64" t="s">
        <v>523</v>
      </c>
      <c r="F79" s="64" t="s">
        <v>524</v>
      </c>
      <c r="G79" s="64" t="s">
        <v>525</v>
      </c>
      <c r="H79" s="64" t="s">
        <v>526</v>
      </c>
      <c r="I79" s="64"/>
      <c r="J79" s="64"/>
    </row>
    <row r="80" spans="1:10" x14ac:dyDescent="0.25">
      <c r="A80" s="30">
        <v>27</v>
      </c>
      <c r="B80" s="104" t="s">
        <v>527</v>
      </c>
      <c r="C80" s="81" t="s">
        <v>528</v>
      </c>
      <c r="D80" s="64" t="s">
        <v>529</v>
      </c>
      <c r="E80" s="64" t="s">
        <v>530</v>
      </c>
      <c r="F80" s="64" t="s">
        <v>531</v>
      </c>
      <c r="G80" s="64" t="s">
        <v>532</v>
      </c>
      <c r="H80" s="64" t="s">
        <v>533</v>
      </c>
      <c r="I80" s="64"/>
      <c r="J80" s="64"/>
    </row>
    <row r="81" spans="1:10" x14ac:dyDescent="0.25">
      <c r="A81" s="30">
        <v>28</v>
      </c>
      <c r="B81" s="104" t="s">
        <v>534</v>
      </c>
      <c r="C81" t="s">
        <v>535</v>
      </c>
      <c r="D81" t="s">
        <v>536</v>
      </c>
      <c r="E81" t="s">
        <v>537</v>
      </c>
      <c r="F81" t="s">
        <v>538</v>
      </c>
      <c r="G81" s="64" t="s">
        <v>534</v>
      </c>
      <c r="H81" t="s">
        <v>539</v>
      </c>
      <c r="I81" s="64"/>
      <c r="J81" s="64"/>
    </row>
    <row r="82" spans="1:10" x14ac:dyDescent="0.25">
      <c r="A82" s="30">
        <v>29</v>
      </c>
      <c r="B82" s="104" t="s">
        <v>540</v>
      </c>
      <c r="C82" s="81" t="s">
        <v>541</v>
      </c>
      <c r="D82" t="s">
        <v>542</v>
      </c>
      <c r="E82" s="64" t="s">
        <v>543</v>
      </c>
      <c r="F82" s="64" t="s">
        <v>544</v>
      </c>
      <c r="G82" s="64" t="s">
        <v>545</v>
      </c>
      <c r="H82" s="64" t="s">
        <v>546</v>
      </c>
      <c r="I82" s="64"/>
      <c r="J82" s="64"/>
    </row>
    <row r="83" spans="1:10" x14ac:dyDescent="0.25">
      <c r="A83" s="30">
        <v>30</v>
      </c>
      <c r="B83" s="104" t="s">
        <v>547</v>
      </c>
      <c r="C83" s="81" t="s">
        <v>548</v>
      </c>
      <c r="D83" s="64" t="s">
        <v>549</v>
      </c>
      <c r="E83" s="64" t="s">
        <v>151</v>
      </c>
      <c r="F83" s="64" t="s">
        <v>550</v>
      </c>
      <c r="G83" s="64" t="s">
        <v>551</v>
      </c>
      <c r="H83" s="64" t="s">
        <v>154</v>
      </c>
      <c r="I83" s="64"/>
      <c r="J83" s="64"/>
    </row>
    <row r="84" spans="1:10" x14ac:dyDescent="0.25">
      <c r="A84" s="30">
        <v>31</v>
      </c>
      <c r="B84" s="104" t="s">
        <v>552</v>
      </c>
      <c r="C84" s="81" t="s">
        <v>553</v>
      </c>
      <c r="D84" s="64" t="s">
        <v>554</v>
      </c>
      <c r="E84" s="64" t="s">
        <v>555</v>
      </c>
      <c r="F84" s="64" t="s">
        <v>482</v>
      </c>
      <c r="G84" s="64" t="s">
        <v>556</v>
      </c>
      <c r="H84" s="64" t="s">
        <v>557</v>
      </c>
      <c r="I84" s="64"/>
      <c r="J84" s="64"/>
    </row>
    <row r="85" spans="1:10" x14ac:dyDescent="0.25">
      <c r="B85" s="104"/>
      <c r="C85" s="81"/>
      <c r="D85" s="64"/>
      <c r="E85" s="64"/>
      <c r="F85" s="64"/>
      <c r="G85" s="64"/>
      <c r="H85" s="64"/>
      <c r="I85" s="64"/>
      <c r="J85" s="64"/>
    </row>
    <row r="86" spans="1:10" x14ac:dyDescent="0.25">
      <c r="A86" s="30">
        <v>11</v>
      </c>
      <c r="B86" s="104" t="s">
        <v>558</v>
      </c>
      <c r="C86" s="81" t="s">
        <v>559</v>
      </c>
      <c r="D86" s="64" t="s">
        <v>560</v>
      </c>
      <c r="E86" s="64" t="s">
        <v>561</v>
      </c>
      <c r="F86" s="64" t="s">
        <v>562</v>
      </c>
      <c r="G86" s="64" t="s">
        <v>563</v>
      </c>
      <c r="H86" s="64" t="s">
        <v>564</v>
      </c>
      <c r="I86" s="64"/>
      <c r="J86" s="64"/>
    </row>
    <row r="87" spans="1:10" x14ac:dyDescent="0.25">
      <c r="A87" s="30">
        <v>12</v>
      </c>
      <c r="B87" s="104" t="s">
        <v>565</v>
      </c>
      <c r="C87" s="81" t="s">
        <v>472</v>
      </c>
      <c r="D87" s="64" t="s">
        <v>473</v>
      </c>
      <c r="E87" s="64" t="s">
        <v>566</v>
      </c>
      <c r="F87" s="64" t="s">
        <v>567</v>
      </c>
      <c r="G87" s="64" t="s">
        <v>568</v>
      </c>
      <c r="H87" s="64" t="s">
        <v>569</v>
      </c>
      <c r="I87" s="64"/>
      <c r="J87" s="64"/>
    </row>
    <row r="88" spans="1:10" x14ac:dyDescent="0.25">
      <c r="A88" s="30">
        <v>13.1</v>
      </c>
      <c r="B88" s="104" t="s">
        <v>570</v>
      </c>
      <c r="C88" s="81" t="s">
        <v>571</v>
      </c>
      <c r="D88" s="64" t="s">
        <v>572</v>
      </c>
      <c r="E88" s="64" t="s">
        <v>573</v>
      </c>
      <c r="F88" s="64" t="s">
        <v>574</v>
      </c>
      <c r="G88" s="64" t="s">
        <v>575</v>
      </c>
      <c r="H88" s="64" t="s">
        <v>576</v>
      </c>
      <c r="I88" s="64"/>
      <c r="J88" s="64"/>
    </row>
    <row r="89" spans="1:10" x14ac:dyDescent="0.25">
      <c r="A89" s="30">
        <v>13.2</v>
      </c>
      <c r="B89" s="104" t="s">
        <v>577</v>
      </c>
      <c r="C89" s="81" t="s">
        <v>578</v>
      </c>
      <c r="D89" s="64" t="s">
        <v>579</v>
      </c>
      <c r="E89" s="64" t="s">
        <v>580</v>
      </c>
      <c r="F89" s="64" t="s">
        <v>581</v>
      </c>
      <c r="G89" s="64" t="s">
        <v>582</v>
      </c>
      <c r="H89" s="64" t="s">
        <v>576</v>
      </c>
      <c r="I89" s="64"/>
      <c r="J89" s="64"/>
    </row>
    <row r="90" spans="1:10" x14ac:dyDescent="0.25">
      <c r="A90" s="30">
        <v>13.3</v>
      </c>
      <c r="B90" s="104" t="s">
        <v>583</v>
      </c>
      <c r="C90" s="81" t="s">
        <v>583</v>
      </c>
      <c r="D90" s="64" t="s">
        <v>584</v>
      </c>
      <c r="E90" s="64" t="s">
        <v>585</v>
      </c>
      <c r="F90" s="64" t="s">
        <v>586</v>
      </c>
      <c r="G90" s="64" t="s">
        <v>587</v>
      </c>
      <c r="H90" s="64" t="s">
        <v>588</v>
      </c>
      <c r="I90" s="64"/>
      <c r="J90" s="64"/>
    </row>
    <row r="91" spans="1:10" x14ac:dyDescent="0.25">
      <c r="A91" s="30">
        <v>13.4</v>
      </c>
      <c r="B91" s="104" t="s">
        <v>589</v>
      </c>
      <c r="C91" s="7" t="s">
        <v>589</v>
      </c>
      <c r="D91" s="7" t="s">
        <v>590</v>
      </c>
      <c r="E91" s="64" t="s">
        <v>591</v>
      </c>
      <c r="F91" s="64" t="s">
        <v>592</v>
      </c>
      <c r="G91" s="64" t="s">
        <v>593</v>
      </c>
      <c r="H91" s="64" t="s">
        <v>594</v>
      </c>
      <c r="I91" s="64"/>
      <c r="J91" s="64"/>
    </row>
    <row r="92" spans="1:10" x14ac:dyDescent="0.25">
      <c r="A92" s="30">
        <v>13.5</v>
      </c>
      <c r="B92" s="104" t="s">
        <v>595</v>
      </c>
      <c r="C92" s="7" t="s">
        <v>595</v>
      </c>
      <c r="D92" s="7" t="s">
        <v>596</v>
      </c>
      <c r="E92" s="64" t="s">
        <v>597</v>
      </c>
      <c r="F92" s="64" t="s">
        <v>598</v>
      </c>
      <c r="G92" s="64" t="s">
        <v>599</v>
      </c>
      <c r="H92" s="64" t="s">
        <v>600</v>
      </c>
      <c r="I92" s="64"/>
      <c r="J92" s="64"/>
    </row>
    <row r="93" spans="1:10" x14ac:dyDescent="0.25">
      <c r="A93" s="30">
        <v>13.6</v>
      </c>
      <c r="B93" s="104" t="s">
        <v>601</v>
      </c>
      <c r="C93" s="7" t="s">
        <v>601</v>
      </c>
      <c r="D93" s="7" t="s">
        <v>584</v>
      </c>
      <c r="E93" s="64" t="s">
        <v>602</v>
      </c>
      <c r="F93" s="64" t="s">
        <v>603</v>
      </c>
      <c r="G93" s="64" t="s">
        <v>604</v>
      </c>
      <c r="H93" s="64" t="s">
        <v>301</v>
      </c>
      <c r="I93" s="64"/>
      <c r="J93" s="64"/>
    </row>
    <row r="94" spans="1:10" x14ac:dyDescent="0.25">
      <c r="A94" s="30">
        <v>15.1</v>
      </c>
      <c r="B94" s="104" t="s">
        <v>605</v>
      </c>
      <c r="C94" s="81" t="s">
        <v>606</v>
      </c>
      <c r="D94" s="64" t="s">
        <v>607</v>
      </c>
      <c r="E94" s="64" t="s">
        <v>608</v>
      </c>
      <c r="F94" s="64" t="s">
        <v>609</v>
      </c>
      <c r="G94" s="64" t="s">
        <v>610</v>
      </c>
      <c r="H94" s="64" t="s">
        <v>611</v>
      </c>
      <c r="I94" s="64"/>
      <c r="J94" s="64"/>
    </row>
    <row r="95" spans="1:10" x14ac:dyDescent="0.25">
      <c r="A95" s="30">
        <v>17</v>
      </c>
      <c r="B95" s="104" t="s">
        <v>612</v>
      </c>
      <c r="C95" s="81" t="s">
        <v>507</v>
      </c>
      <c r="D95" s="64" t="s">
        <v>613</v>
      </c>
      <c r="E95" s="64" t="s">
        <v>614</v>
      </c>
      <c r="F95" s="64" t="s">
        <v>615</v>
      </c>
      <c r="G95" s="64" t="s">
        <v>616</v>
      </c>
      <c r="H95" s="64" t="s">
        <v>617</v>
      </c>
      <c r="I95" s="64"/>
      <c r="J95" s="64"/>
    </row>
    <row r="96" spans="1:10" x14ac:dyDescent="0.25">
      <c r="A96" s="30">
        <v>18</v>
      </c>
      <c r="I96" s="64"/>
      <c r="J96" s="64"/>
    </row>
    <row r="97" spans="1:10" x14ac:dyDescent="0.25">
      <c r="A97" s="30">
        <v>18.100000000000001</v>
      </c>
      <c r="B97" s="104" t="s">
        <v>618</v>
      </c>
      <c r="C97" s="178" t="s">
        <v>619</v>
      </c>
      <c r="D97" s="64" t="s">
        <v>349</v>
      </c>
      <c r="E97" s="64" t="s">
        <v>350</v>
      </c>
      <c r="F97" s="64" t="s">
        <v>351</v>
      </c>
      <c r="G97" s="64" t="s">
        <v>352</v>
      </c>
      <c r="H97" s="64" t="s">
        <v>353</v>
      </c>
      <c r="I97" s="64"/>
      <c r="J97" s="64"/>
    </row>
    <row r="98" spans="1:10" x14ac:dyDescent="0.25">
      <c r="A98" s="30">
        <v>18.2</v>
      </c>
      <c r="B98" s="104" t="s">
        <v>620</v>
      </c>
      <c r="C98" s="178" t="s">
        <v>355</v>
      </c>
      <c r="D98" s="64" t="s">
        <v>356</v>
      </c>
      <c r="E98" s="64" t="s">
        <v>621</v>
      </c>
      <c r="F98" s="64" t="s">
        <v>622</v>
      </c>
      <c r="G98" s="64" t="s">
        <v>623</v>
      </c>
      <c r="H98" s="64" t="s">
        <v>624</v>
      </c>
      <c r="I98" s="64"/>
      <c r="J98" s="64"/>
    </row>
    <row r="99" spans="1:10" x14ac:dyDescent="0.25">
      <c r="A99" s="30">
        <v>18.3</v>
      </c>
      <c r="B99" s="104" t="s">
        <v>89</v>
      </c>
      <c r="C99" s="178" t="s">
        <v>133</v>
      </c>
      <c r="D99" s="64" t="s">
        <v>134</v>
      </c>
      <c r="E99" s="64" t="s">
        <v>135</v>
      </c>
      <c r="F99" s="64" t="s">
        <v>625</v>
      </c>
      <c r="G99" s="64" t="s">
        <v>137</v>
      </c>
      <c r="H99" s="64" t="s">
        <v>626</v>
      </c>
      <c r="I99" s="64"/>
      <c r="J99" s="64"/>
    </row>
    <row r="100" spans="1:10" x14ac:dyDescent="0.25">
      <c r="A100" s="30">
        <v>19</v>
      </c>
      <c r="B100" s="104" t="s">
        <v>520</v>
      </c>
      <c r="C100" s="178" t="s">
        <v>521</v>
      </c>
      <c r="D100" s="81" t="s">
        <v>522</v>
      </c>
      <c r="E100" s="64" t="s">
        <v>523</v>
      </c>
      <c r="F100" s="64" t="s">
        <v>524</v>
      </c>
      <c r="G100" s="64" t="s">
        <v>525</v>
      </c>
      <c r="H100" s="64" t="s">
        <v>526</v>
      </c>
      <c r="I100" s="64"/>
      <c r="J100" s="64"/>
    </row>
    <row r="101" spans="1:10" x14ac:dyDescent="0.25">
      <c r="A101" s="30">
        <v>21</v>
      </c>
      <c r="B101" s="104" t="s">
        <v>627</v>
      </c>
      <c r="C101" s="81" t="s">
        <v>628</v>
      </c>
      <c r="D101" s="64" t="s">
        <v>629</v>
      </c>
      <c r="E101" s="64" t="s">
        <v>630</v>
      </c>
      <c r="F101" s="64" t="s">
        <v>631</v>
      </c>
      <c r="G101" s="64" t="s">
        <v>632</v>
      </c>
      <c r="H101" s="64" t="s">
        <v>633</v>
      </c>
      <c r="I101" s="64"/>
      <c r="J101" s="64"/>
    </row>
    <row r="102" spans="1:10" x14ac:dyDescent="0.25">
      <c r="A102" s="30">
        <v>22</v>
      </c>
      <c r="I102" s="64"/>
      <c r="J102" s="64"/>
    </row>
    <row r="103" spans="1:10" x14ac:dyDescent="0.25">
      <c r="A103" s="30">
        <v>23.1</v>
      </c>
      <c r="B103" s="104" t="s">
        <v>634</v>
      </c>
      <c r="C103" s="81" t="s">
        <v>635</v>
      </c>
      <c r="D103" s="64" t="s">
        <v>636</v>
      </c>
      <c r="E103" s="64" t="s">
        <v>637</v>
      </c>
      <c r="F103" s="64" t="s">
        <v>638</v>
      </c>
      <c r="G103" s="64" t="s">
        <v>639</v>
      </c>
      <c r="H103" s="64" t="s">
        <v>640</v>
      </c>
      <c r="I103" s="64"/>
      <c r="J103" s="64"/>
    </row>
    <row r="104" spans="1:10" x14ac:dyDescent="0.25">
      <c r="A104" s="30">
        <v>24.2</v>
      </c>
      <c r="B104" s="104" t="s">
        <v>641</v>
      </c>
      <c r="C104" s="81" t="s">
        <v>642</v>
      </c>
      <c r="D104" s="64" t="s">
        <v>643</v>
      </c>
      <c r="E104" s="64" t="s">
        <v>644</v>
      </c>
      <c r="F104" s="64" t="s">
        <v>645</v>
      </c>
      <c r="G104" s="64" t="s">
        <v>646</v>
      </c>
      <c r="H104" s="64" t="s">
        <v>647</v>
      </c>
      <c r="I104" s="64"/>
      <c r="J104" s="64"/>
    </row>
    <row r="105" spans="1:10" x14ac:dyDescent="0.25">
      <c r="A105" s="30">
        <v>25</v>
      </c>
      <c r="I105" s="64"/>
      <c r="J105" s="64"/>
    </row>
    <row r="106" spans="1:10" x14ac:dyDescent="0.25">
      <c r="A106" s="30">
        <v>25.1</v>
      </c>
      <c r="B106" s="104" t="s">
        <v>648</v>
      </c>
      <c r="C106" s="81" t="s">
        <v>649</v>
      </c>
      <c r="D106" s="64" t="s">
        <v>650</v>
      </c>
      <c r="E106" s="64" t="s">
        <v>648</v>
      </c>
      <c r="F106" s="64" t="s">
        <v>648</v>
      </c>
      <c r="G106" s="64" t="s">
        <v>651</v>
      </c>
      <c r="H106" s="64" t="s">
        <v>652</v>
      </c>
      <c r="I106" s="64"/>
      <c r="J106" s="64"/>
    </row>
    <row r="107" spans="1:10" ht="15.75" thickBot="1" x14ac:dyDescent="0.3">
      <c r="A107" s="30">
        <v>25.2</v>
      </c>
      <c r="B107" s="105" t="s">
        <v>653</v>
      </c>
      <c r="C107" s="81" t="s">
        <v>654</v>
      </c>
      <c r="D107" s="64" t="s">
        <v>655</v>
      </c>
      <c r="E107" s="64" t="s">
        <v>656</v>
      </c>
      <c r="F107" s="64" t="s">
        <v>657</v>
      </c>
      <c r="G107" s="64" t="s">
        <v>658</v>
      </c>
      <c r="H107" s="64" t="s">
        <v>659</v>
      </c>
      <c r="I107" s="64"/>
      <c r="J107" s="64"/>
    </row>
    <row r="110" spans="1:10" ht="15.75" thickBot="1" x14ac:dyDescent="0.3"/>
    <row r="111" spans="1:10" ht="30" customHeight="1" thickBot="1" x14ac:dyDescent="0.3">
      <c r="B111" s="107" t="s">
        <v>120</v>
      </c>
      <c r="C111" s="187" t="s">
        <v>163</v>
      </c>
      <c r="D111" s="27" t="s">
        <v>164</v>
      </c>
      <c r="E111" s="27" t="s">
        <v>165</v>
      </c>
      <c r="F111" s="27" t="s">
        <v>166</v>
      </c>
      <c r="G111" s="27" t="s">
        <v>167</v>
      </c>
      <c r="H111" s="27"/>
      <c r="I111" s="27"/>
      <c r="J111" s="27"/>
    </row>
    <row r="112" spans="1:10" x14ac:dyDescent="0.25">
      <c r="B112" s="102" t="s">
        <v>660</v>
      </c>
      <c r="C112" s="106" t="str">
        <f>C3</f>
        <v>German</v>
      </c>
      <c r="D112" s="77" t="str">
        <f>C4</f>
        <v>Svenska</v>
      </c>
      <c r="E112" s="77" t="str">
        <f>C5</f>
        <v>Français</v>
      </c>
      <c r="F112" s="77" t="str">
        <f>C6</f>
        <v>Español</v>
      </c>
      <c r="G112" s="77" t="str">
        <f>C7</f>
        <v>Russian</v>
      </c>
      <c r="H112" s="77" t="str">
        <f>C8</f>
        <v>Chinese （简体中文）</v>
      </c>
      <c r="I112" s="77">
        <f>C9</f>
        <v>0</v>
      </c>
      <c r="J112" s="77">
        <f>C10</f>
        <v>0</v>
      </c>
    </row>
    <row r="113" spans="1:10" x14ac:dyDescent="0.25">
      <c r="A113" s="30" t="s">
        <v>661</v>
      </c>
      <c r="B113" s="103" t="s">
        <v>662</v>
      </c>
      <c r="C113" t="s">
        <v>663</v>
      </c>
      <c r="D113" t="s">
        <v>664</v>
      </c>
      <c r="E113" t="s">
        <v>665</v>
      </c>
      <c r="F113" t="s">
        <v>666</v>
      </c>
      <c r="G113" t="s">
        <v>667</v>
      </c>
      <c r="H113" t="s">
        <v>668</v>
      </c>
      <c r="I113" s="65"/>
      <c r="J113" s="65"/>
    </row>
    <row r="114" spans="1:10" x14ac:dyDescent="0.25">
      <c r="A114" s="30" t="s">
        <v>669</v>
      </c>
      <c r="B114" s="104" t="s">
        <v>670</v>
      </c>
      <c r="C114" s="64" t="s">
        <v>671</v>
      </c>
      <c r="D114" s="64" t="s">
        <v>672</v>
      </c>
      <c r="E114" s="64" t="s">
        <v>673</v>
      </c>
      <c r="F114" s="64" t="s">
        <v>674</v>
      </c>
      <c r="G114" t="s">
        <v>675</v>
      </c>
      <c r="H114" t="s">
        <v>676</v>
      </c>
      <c r="I114" s="64"/>
      <c r="J114" s="64"/>
    </row>
    <row r="115" spans="1:10" x14ac:dyDescent="0.25">
      <c r="A115" s="30" t="s">
        <v>677</v>
      </c>
      <c r="B115" s="104" t="s">
        <v>678</v>
      </c>
      <c r="C115" s="64" t="s">
        <v>679</v>
      </c>
      <c r="D115" s="64" t="s">
        <v>680</v>
      </c>
      <c r="E115" s="64" t="s">
        <v>681</v>
      </c>
      <c r="F115" s="64" t="s">
        <v>682</v>
      </c>
      <c r="G115" s="64" t="s">
        <v>683</v>
      </c>
      <c r="H115" s="64" t="s">
        <v>684</v>
      </c>
      <c r="I115" s="64"/>
      <c r="J115" s="64"/>
    </row>
    <row r="116" spans="1:10" x14ac:dyDescent="0.25">
      <c r="A116" s="30" t="s">
        <v>10</v>
      </c>
      <c r="B116" s="104" t="s">
        <v>685</v>
      </c>
      <c r="C116" s="64" t="s">
        <v>686</v>
      </c>
      <c r="D116" s="64" t="s">
        <v>687</v>
      </c>
      <c r="E116" s="64" t="s">
        <v>685</v>
      </c>
      <c r="F116" s="64" t="s">
        <v>688</v>
      </c>
      <c r="G116" s="64" t="s">
        <v>689</v>
      </c>
      <c r="H116" s="64" t="s">
        <v>690</v>
      </c>
      <c r="I116" s="64"/>
      <c r="J116" s="64"/>
    </row>
    <row r="117" spans="1:10" x14ac:dyDescent="0.25">
      <c r="A117" s="30" t="s">
        <v>11</v>
      </c>
      <c r="B117" s="104" t="s">
        <v>691</v>
      </c>
      <c r="C117" s="64" t="s">
        <v>692</v>
      </c>
      <c r="D117" s="64" t="s">
        <v>693</v>
      </c>
      <c r="E117" s="64" t="s">
        <v>694</v>
      </c>
      <c r="F117" s="64" t="s">
        <v>695</v>
      </c>
      <c r="G117" s="64" t="s">
        <v>696</v>
      </c>
      <c r="H117" s="64" t="s">
        <v>697</v>
      </c>
      <c r="I117" s="64"/>
      <c r="J117" s="64"/>
    </row>
    <row r="118" spans="1:10" x14ac:dyDescent="0.25">
      <c r="A118" s="30" t="s">
        <v>12</v>
      </c>
      <c r="B118" s="104" t="s">
        <v>698</v>
      </c>
      <c r="C118" s="64" t="s">
        <v>224</v>
      </c>
      <c r="D118" s="64" t="s">
        <v>699</v>
      </c>
      <c r="E118" s="64" t="s">
        <v>226</v>
      </c>
      <c r="F118" s="64" t="s">
        <v>227</v>
      </c>
      <c r="G118" s="64" t="s">
        <v>228</v>
      </c>
      <c r="H118" s="64" t="s">
        <v>700</v>
      </c>
      <c r="I118" s="64"/>
      <c r="J118" s="64"/>
    </row>
    <row r="119" spans="1:10" x14ac:dyDescent="0.25">
      <c r="A119" s="30" t="s">
        <v>13</v>
      </c>
      <c r="B119" s="104" t="s">
        <v>701</v>
      </c>
      <c r="C119" s="64" t="s">
        <v>702</v>
      </c>
      <c r="D119" s="64" t="s">
        <v>703</v>
      </c>
      <c r="E119" s="64" t="s">
        <v>704</v>
      </c>
      <c r="F119" s="64" t="s">
        <v>705</v>
      </c>
      <c r="G119" s="64" t="s">
        <v>706</v>
      </c>
      <c r="H119" s="64" t="s">
        <v>707</v>
      </c>
      <c r="I119" s="64"/>
      <c r="J119" s="64"/>
    </row>
    <row r="120" spans="1:10" x14ac:dyDescent="0.25">
      <c r="A120" s="30" t="s">
        <v>14</v>
      </c>
      <c r="B120" s="104" t="s">
        <v>708</v>
      </c>
      <c r="C120" s="64" t="s">
        <v>709</v>
      </c>
      <c r="D120" s="64" t="s">
        <v>710</v>
      </c>
      <c r="E120" s="64" t="s">
        <v>711</v>
      </c>
      <c r="F120" s="64" t="s">
        <v>712</v>
      </c>
      <c r="G120" s="64" t="s">
        <v>713</v>
      </c>
      <c r="H120" s="64" t="s">
        <v>714</v>
      </c>
      <c r="I120" s="64"/>
      <c r="J120" s="64"/>
    </row>
    <row r="121" spans="1:10" x14ac:dyDescent="0.25">
      <c r="A121" s="30" t="s">
        <v>15</v>
      </c>
      <c r="B121" s="104" t="s">
        <v>715</v>
      </c>
      <c r="C121" s="64" t="s">
        <v>716</v>
      </c>
      <c r="D121" s="64" t="s">
        <v>717</v>
      </c>
      <c r="E121" s="64" t="s">
        <v>718</v>
      </c>
      <c r="F121" s="64" t="s">
        <v>719</v>
      </c>
      <c r="G121" s="64" t="s">
        <v>720</v>
      </c>
      <c r="H121" s="64" t="s">
        <v>721</v>
      </c>
      <c r="I121" s="64"/>
      <c r="J121" s="64"/>
    </row>
    <row r="122" spans="1:10" x14ac:dyDescent="0.25">
      <c r="A122" s="30" t="s">
        <v>16</v>
      </c>
      <c r="B122" s="104" t="s">
        <v>189</v>
      </c>
      <c r="C122" s="64" t="s">
        <v>190</v>
      </c>
      <c r="D122" s="64" t="s">
        <v>191</v>
      </c>
      <c r="E122" s="64" t="s">
        <v>192</v>
      </c>
      <c r="F122" s="64" t="s">
        <v>722</v>
      </c>
      <c r="G122" s="64" t="s">
        <v>194</v>
      </c>
      <c r="H122" s="64" t="s">
        <v>195</v>
      </c>
      <c r="I122" s="64"/>
      <c r="J122" s="64"/>
    </row>
    <row r="123" spans="1:10" x14ac:dyDescent="0.25">
      <c r="A123" s="30" t="s">
        <v>17</v>
      </c>
      <c r="B123" s="104" t="s">
        <v>723</v>
      </c>
      <c r="C123" s="64" t="s">
        <v>724</v>
      </c>
      <c r="D123" s="64" t="s">
        <v>725</v>
      </c>
      <c r="E123" s="64" t="s">
        <v>591</v>
      </c>
      <c r="F123" s="64" t="s">
        <v>726</v>
      </c>
      <c r="G123" s="64" t="s">
        <v>300</v>
      </c>
      <c r="H123" s="64" t="s">
        <v>594</v>
      </c>
      <c r="I123" s="64"/>
      <c r="J123" s="64"/>
    </row>
    <row r="124" spans="1:10" x14ac:dyDescent="0.25">
      <c r="A124" s="30" t="s">
        <v>18</v>
      </c>
      <c r="B124" s="104" t="s">
        <v>727</v>
      </c>
      <c r="C124" s="64" t="s">
        <v>728</v>
      </c>
      <c r="D124" s="64" t="s">
        <v>729</v>
      </c>
      <c r="E124" s="64" t="s">
        <v>730</v>
      </c>
      <c r="F124" s="64" t="s">
        <v>731</v>
      </c>
      <c r="G124" s="64" t="s">
        <v>732</v>
      </c>
      <c r="H124" s="64" t="s">
        <v>733</v>
      </c>
      <c r="I124" s="64"/>
      <c r="J124" s="64"/>
    </row>
    <row r="125" spans="1:10" x14ac:dyDescent="0.25">
      <c r="A125" s="30" t="s">
        <v>19</v>
      </c>
      <c r="B125" s="104" t="s">
        <v>734</v>
      </c>
      <c r="C125" s="64" t="s">
        <v>735</v>
      </c>
      <c r="D125" s="64" t="s">
        <v>736</v>
      </c>
      <c r="E125" s="64" t="s">
        <v>737</v>
      </c>
      <c r="F125" s="64" t="s">
        <v>738</v>
      </c>
      <c r="G125" s="64" t="s">
        <v>739</v>
      </c>
      <c r="H125" s="64" t="s">
        <v>740</v>
      </c>
      <c r="I125" s="64"/>
      <c r="J125" s="64"/>
    </row>
    <row r="126" spans="1:10" ht="14.25" customHeight="1" x14ac:dyDescent="0.25">
      <c r="A126" s="30" t="s">
        <v>20</v>
      </c>
      <c r="B126" s="104" t="s">
        <v>741</v>
      </c>
      <c r="C126" s="64" t="s">
        <v>742</v>
      </c>
      <c r="D126" s="64" t="s">
        <v>743</v>
      </c>
      <c r="E126" s="64" t="s">
        <v>744</v>
      </c>
      <c r="F126" s="64" t="s">
        <v>745</v>
      </c>
      <c r="G126" s="64" t="s">
        <v>746</v>
      </c>
      <c r="H126" s="64" t="s">
        <v>747</v>
      </c>
      <c r="I126" s="64"/>
      <c r="J126" s="64"/>
    </row>
    <row r="127" spans="1:10" x14ac:dyDescent="0.25">
      <c r="A127" s="30" t="s">
        <v>21</v>
      </c>
      <c r="B127" s="104" t="s">
        <v>748</v>
      </c>
      <c r="C127" s="64" t="s">
        <v>749</v>
      </c>
      <c r="D127" s="64" t="s">
        <v>750</v>
      </c>
      <c r="E127" s="64" t="s">
        <v>751</v>
      </c>
      <c r="F127" s="64" t="s">
        <v>752</v>
      </c>
      <c r="G127" s="64" t="s">
        <v>292</v>
      </c>
      <c r="H127" s="64" t="s">
        <v>753</v>
      </c>
      <c r="I127" s="64"/>
      <c r="J127" s="64"/>
    </row>
    <row r="128" spans="1:10" x14ac:dyDescent="0.25">
      <c r="A128" s="30" t="s">
        <v>22</v>
      </c>
      <c r="B128" s="104" t="s">
        <v>754</v>
      </c>
      <c r="C128" s="64" t="s">
        <v>755</v>
      </c>
      <c r="D128" s="64" t="s">
        <v>756</v>
      </c>
      <c r="E128" s="64" t="s">
        <v>757</v>
      </c>
      <c r="F128" s="64" t="s">
        <v>758</v>
      </c>
      <c r="G128" s="64" t="s">
        <v>759</v>
      </c>
      <c r="H128" s="64" t="s">
        <v>760</v>
      </c>
      <c r="I128" s="64"/>
      <c r="J128" s="64"/>
    </row>
    <row r="129" spans="1:10" x14ac:dyDescent="0.25">
      <c r="A129" s="30" t="s">
        <v>23</v>
      </c>
      <c r="B129" s="104" t="s">
        <v>761</v>
      </c>
      <c r="C129" s="64" t="s">
        <v>762</v>
      </c>
      <c r="D129" s="64" t="s">
        <v>763</v>
      </c>
      <c r="E129" s="64" t="s">
        <v>764</v>
      </c>
      <c r="F129" s="64" t="s">
        <v>765</v>
      </c>
      <c r="G129" s="64" t="s">
        <v>766</v>
      </c>
      <c r="H129" s="64" t="s">
        <v>767</v>
      </c>
      <c r="I129" s="64"/>
      <c r="J129" s="64"/>
    </row>
    <row r="130" spans="1:10" x14ac:dyDescent="0.25">
      <c r="A130" s="30" t="s">
        <v>24</v>
      </c>
      <c r="B130" s="104" t="s">
        <v>768</v>
      </c>
      <c r="C130" s="64" t="s">
        <v>769</v>
      </c>
      <c r="D130" s="64" t="s">
        <v>770</v>
      </c>
      <c r="E130" s="64" t="s">
        <v>771</v>
      </c>
      <c r="F130" s="64" t="s">
        <v>772</v>
      </c>
      <c r="G130" s="64" t="s">
        <v>759</v>
      </c>
      <c r="H130" s="64" t="s">
        <v>773</v>
      </c>
      <c r="I130" s="64"/>
      <c r="J130" s="64"/>
    </row>
    <row r="131" spans="1:10" x14ac:dyDescent="0.25">
      <c r="A131" s="30" t="s">
        <v>25</v>
      </c>
      <c r="B131" s="104" t="s">
        <v>774</v>
      </c>
      <c r="C131" s="64" t="s">
        <v>389</v>
      </c>
      <c r="D131" s="64" t="s">
        <v>775</v>
      </c>
      <c r="E131" s="64" t="s">
        <v>391</v>
      </c>
      <c r="F131" s="64" t="s">
        <v>776</v>
      </c>
      <c r="G131" s="64" t="s">
        <v>393</v>
      </c>
      <c r="H131" s="64" t="s">
        <v>777</v>
      </c>
      <c r="I131" s="64"/>
      <c r="J131" s="64"/>
    </row>
    <row r="132" spans="1:10" x14ac:dyDescent="0.25">
      <c r="A132" s="30" t="s">
        <v>25</v>
      </c>
      <c r="B132" s="104" t="s">
        <v>778</v>
      </c>
      <c r="C132" s="64" t="s">
        <v>779</v>
      </c>
      <c r="D132" s="64" t="s">
        <v>780</v>
      </c>
      <c r="E132" s="64" t="s">
        <v>781</v>
      </c>
      <c r="F132" s="64" t="s">
        <v>782</v>
      </c>
      <c r="G132" s="64" t="s">
        <v>783</v>
      </c>
      <c r="H132" s="64" t="s">
        <v>784</v>
      </c>
      <c r="I132" s="64"/>
      <c r="J132" s="64"/>
    </row>
    <row r="133" spans="1:10" ht="30" x14ac:dyDescent="0.25">
      <c r="A133" s="30" t="s">
        <v>26</v>
      </c>
      <c r="B133" s="108" t="s">
        <v>785</v>
      </c>
      <c r="C133" s="128" t="s">
        <v>786</v>
      </c>
      <c r="D133" s="128" t="s">
        <v>787</v>
      </c>
      <c r="E133" s="128" t="s">
        <v>788</v>
      </c>
      <c r="F133" s="128" t="s">
        <v>789</v>
      </c>
      <c r="G133" s="128" t="s">
        <v>380</v>
      </c>
      <c r="H133" s="64" t="s">
        <v>790</v>
      </c>
      <c r="I133" s="64"/>
      <c r="J133" s="64"/>
    </row>
    <row r="134" spans="1:10" x14ac:dyDescent="0.25">
      <c r="A134" s="30" t="s">
        <v>27</v>
      </c>
      <c r="B134" s="104" t="s">
        <v>791</v>
      </c>
      <c r="C134" s="64" t="s">
        <v>792</v>
      </c>
      <c r="D134" s="64" t="s">
        <v>793</v>
      </c>
      <c r="E134" s="64" t="s">
        <v>794</v>
      </c>
      <c r="F134" s="64" t="s">
        <v>795</v>
      </c>
      <c r="G134" s="64" t="s">
        <v>796</v>
      </c>
      <c r="H134" s="64" t="s">
        <v>797</v>
      </c>
      <c r="I134" s="64"/>
      <c r="J134" s="64"/>
    </row>
    <row r="135" spans="1:10" x14ac:dyDescent="0.25">
      <c r="A135" s="30" t="s">
        <v>28</v>
      </c>
      <c r="B135" s="104" t="s">
        <v>798</v>
      </c>
      <c r="C135" s="64" t="s">
        <v>799</v>
      </c>
      <c r="D135" s="64" t="s">
        <v>800</v>
      </c>
      <c r="E135" s="64" t="s">
        <v>801</v>
      </c>
      <c r="F135" s="64" t="s">
        <v>802</v>
      </c>
      <c r="G135" s="64" t="s">
        <v>803</v>
      </c>
      <c r="H135" s="64" t="s">
        <v>804</v>
      </c>
      <c r="I135" s="64"/>
      <c r="J135" s="64"/>
    </row>
    <row r="136" spans="1:10" x14ac:dyDescent="0.25">
      <c r="A136" s="30" t="s">
        <v>29</v>
      </c>
      <c r="B136" s="104" t="s">
        <v>5</v>
      </c>
      <c r="C136" s="68" t="s">
        <v>805</v>
      </c>
      <c r="D136" s="68" t="s">
        <v>806</v>
      </c>
      <c r="E136" s="68" t="s">
        <v>807</v>
      </c>
      <c r="F136" s="68" t="s">
        <v>808</v>
      </c>
      <c r="G136" s="68" t="s">
        <v>809</v>
      </c>
      <c r="H136" s="68" t="s">
        <v>546</v>
      </c>
      <c r="I136" s="68"/>
      <c r="J136" s="68"/>
    </row>
    <row r="137" spans="1:10" x14ac:dyDescent="0.25">
      <c r="A137" s="30" t="s">
        <v>30</v>
      </c>
      <c r="B137" s="104" t="s">
        <v>810</v>
      </c>
      <c r="C137" s="81" t="s">
        <v>811</v>
      </c>
      <c r="D137" s="180" t="s">
        <v>812</v>
      </c>
      <c r="E137" s="64" t="s">
        <v>813</v>
      </c>
      <c r="F137" s="64" t="s">
        <v>814</v>
      </c>
      <c r="G137" s="64" t="s">
        <v>815</v>
      </c>
      <c r="H137" s="64" t="s">
        <v>816</v>
      </c>
      <c r="I137" s="68"/>
      <c r="J137" s="68"/>
    </row>
    <row r="138" spans="1:10" x14ac:dyDescent="0.25">
      <c r="A138" s="30" t="s">
        <v>31</v>
      </c>
      <c r="B138" s="104" t="s">
        <v>817</v>
      </c>
      <c r="C138" s="81" t="s">
        <v>818</v>
      </c>
      <c r="D138" s="64" t="s">
        <v>819</v>
      </c>
      <c r="E138" s="64" t="s">
        <v>820</v>
      </c>
      <c r="F138" s="64" t="s">
        <v>821</v>
      </c>
      <c r="G138" s="64" t="s">
        <v>822</v>
      </c>
      <c r="H138" s="64" t="s">
        <v>823</v>
      </c>
      <c r="I138" s="68"/>
      <c r="J138" s="68"/>
    </row>
    <row r="139" spans="1:10" x14ac:dyDescent="0.25">
      <c r="A139" s="30" t="s">
        <v>32</v>
      </c>
      <c r="B139" s="104" t="s">
        <v>824</v>
      </c>
      <c r="C139" s="68" t="s">
        <v>825</v>
      </c>
      <c r="D139" s="68" t="s">
        <v>826</v>
      </c>
      <c r="E139" s="68" t="s">
        <v>827</v>
      </c>
      <c r="F139" s="68" t="s">
        <v>828</v>
      </c>
      <c r="G139" s="68" t="s">
        <v>829</v>
      </c>
      <c r="H139" s="68" t="s">
        <v>830</v>
      </c>
      <c r="I139" s="68"/>
      <c r="J139" s="68"/>
    </row>
    <row r="140" spans="1:10" x14ac:dyDescent="0.25">
      <c r="A140" s="30" t="s">
        <v>831</v>
      </c>
      <c r="B140" s="104" t="s">
        <v>832</v>
      </c>
      <c r="C140" s="64" t="s">
        <v>833</v>
      </c>
      <c r="D140" s="64" t="s">
        <v>335</v>
      </c>
      <c r="E140" s="64" t="s">
        <v>336</v>
      </c>
      <c r="F140" s="64" t="s">
        <v>337</v>
      </c>
      <c r="G140" s="64" t="s">
        <v>338</v>
      </c>
      <c r="H140" s="64" t="s">
        <v>834</v>
      </c>
      <c r="I140" s="64"/>
      <c r="J140" s="64"/>
    </row>
    <row r="141" spans="1:10" x14ac:dyDescent="0.25">
      <c r="A141" s="30" t="s">
        <v>835</v>
      </c>
      <c r="B141" s="104" t="s">
        <v>836</v>
      </c>
      <c r="C141" s="64" t="s">
        <v>837</v>
      </c>
      <c r="D141" s="64" t="s">
        <v>122</v>
      </c>
      <c r="E141" s="64" t="s">
        <v>838</v>
      </c>
      <c r="F141" s="64" t="s">
        <v>839</v>
      </c>
      <c r="G141" s="64" t="s">
        <v>840</v>
      </c>
      <c r="H141" s="64" t="s">
        <v>841</v>
      </c>
      <c r="I141" s="64"/>
      <c r="J141" s="64"/>
    </row>
    <row r="142" spans="1:10" x14ac:dyDescent="0.25">
      <c r="A142" s="30" t="s">
        <v>842</v>
      </c>
      <c r="B142" s="104" t="s">
        <v>33</v>
      </c>
      <c r="C142" s="64" t="s">
        <v>843</v>
      </c>
      <c r="D142" s="64" t="s">
        <v>844</v>
      </c>
      <c r="E142" s="64" t="s">
        <v>845</v>
      </c>
      <c r="F142" s="64" t="s">
        <v>33</v>
      </c>
      <c r="G142" s="64" t="s">
        <v>846</v>
      </c>
      <c r="H142" s="64" t="s">
        <v>847</v>
      </c>
      <c r="I142" s="64"/>
      <c r="J142" s="64"/>
    </row>
    <row r="143" spans="1:10" x14ac:dyDescent="0.25">
      <c r="A143" s="30" t="s">
        <v>848</v>
      </c>
      <c r="B143" s="104" t="s">
        <v>849</v>
      </c>
      <c r="C143" s="64" t="s">
        <v>348</v>
      </c>
      <c r="D143" s="64" t="s">
        <v>349</v>
      </c>
      <c r="E143" s="64" t="s">
        <v>350</v>
      </c>
      <c r="F143" s="64" t="s">
        <v>850</v>
      </c>
      <c r="G143" s="64" t="s">
        <v>352</v>
      </c>
      <c r="H143" s="64" t="s">
        <v>353</v>
      </c>
      <c r="I143" s="64"/>
      <c r="J143" s="64"/>
    </row>
    <row r="144" spans="1:10" x14ac:dyDescent="0.25">
      <c r="A144" s="30" t="s">
        <v>851</v>
      </c>
      <c r="B144" s="104" t="s">
        <v>852</v>
      </c>
      <c r="C144" s="64" t="s">
        <v>853</v>
      </c>
      <c r="D144" s="64" t="s">
        <v>356</v>
      </c>
      <c r="E144" s="64" t="s">
        <v>357</v>
      </c>
      <c r="F144" s="64" t="s">
        <v>358</v>
      </c>
      <c r="G144" s="64" t="s">
        <v>359</v>
      </c>
      <c r="H144" s="64" t="s">
        <v>854</v>
      </c>
      <c r="I144" s="64"/>
      <c r="J144" s="64"/>
    </row>
    <row r="145" spans="1:10" x14ac:dyDescent="0.25">
      <c r="A145" s="30" t="s">
        <v>855</v>
      </c>
      <c r="B145" s="104" t="s">
        <v>856</v>
      </c>
      <c r="C145" s="64" t="s">
        <v>857</v>
      </c>
      <c r="D145" s="64" t="s">
        <v>377</v>
      </c>
      <c r="E145" s="64" t="s">
        <v>858</v>
      </c>
      <c r="F145" s="64" t="s">
        <v>379</v>
      </c>
      <c r="G145" s="64" t="s">
        <v>859</v>
      </c>
      <c r="H145" s="64" t="s">
        <v>381</v>
      </c>
      <c r="I145" s="64"/>
      <c r="J145" s="64"/>
    </row>
    <row r="146" spans="1:10" x14ac:dyDescent="0.25">
      <c r="A146" s="30" t="s">
        <v>860</v>
      </c>
      <c r="B146" s="104" t="s">
        <v>861</v>
      </c>
      <c r="C146" s="64" t="s">
        <v>862</v>
      </c>
      <c r="D146" s="64" t="s">
        <v>863</v>
      </c>
      <c r="E146" s="64" t="s">
        <v>864</v>
      </c>
      <c r="F146" s="64" t="s">
        <v>865</v>
      </c>
      <c r="G146" s="64" t="s">
        <v>783</v>
      </c>
      <c r="H146" s="64" t="s">
        <v>866</v>
      </c>
      <c r="I146" s="64"/>
      <c r="J146" s="64"/>
    </row>
    <row r="147" spans="1:10" x14ac:dyDescent="0.25">
      <c r="A147" s="30" t="s">
        <v>867</v>
      </c>
      <c r="B147" s="104" t="s">
        <v>868</v>
      </c>
      <c r="C147" s="64" t="s">
        <v>869</v>
      </c>
      <c r="D147" s="64" t="s">
        <v>800</v>
      </c>
      <c r="E147" s="64" t="s">
        <v>870</v>
      </c>
      <c r="F147" s="64" t="s">
        <v>871</v>
      </c>
      <c r="G147" s="64" t="s">
        <v>872</v>
      </c>
      <c r="H147" s="64" t="s">
        <v>804</v>
      </c>
      <c r="I147" s="64"/>
      <c r="J147" s="64"/>
    </row>
    <row r="148" spans="1:10" ht="15.75" thickBot="1" x14ac:dyDescent="0.3">
      <c r="A148" s="30" t="s">
        <v>873</v>
      </c>
      <c r="B148" s="105" t="s">
        <v>824</v>
      </c>
      <c r="C148" s="497" t="s">
        <v>825</v>
      </c>
      <c r="D148" s="498" t="s">
        <v>826</v>
      </c>
      <c r="E148" s="498" t="s">
        <v>827</v>
      </c>
      <c r="F148" s="498" t="s">
        <v>828</v>
      </c>
      <c r="G148" s="498" t="s">
        <v>829</v>
      </c>
      <c r="H148" s="498" t="s">
        <v>830</v>
      </c>
      <c r="I148" s="498"/>
      <c r="J148" s="498"/>
    </row>
    <row r="149" spans="1:10" ht="15.75" thickBot="1" x14ac:dyDescent="0.3"/>
    <row r="150" spans="1:10" ht="30" customHeight="1" thickBot="1" x14ac:dyDescent="0.3">
      <c r="B150" s="107" t="s">
        <v>120</v>
      </c>
      <c r="C150" s="27" t="s">
        <v>163</v>
      </c>
      <c r="D150" s="187" t="s">
        <v>164</v>
      </c>
      <c r="E150" s="27" t="s">
        <v>165</v>
      </c>
      <c r="F150" s="27" t="s">
        <v>166</v>
      </c>
      <c r="G150" s="27" t="s">
        <v>167</v>
      </c>
      <c r="H150" s="27"/>
      <c r="I150" s="27"/>
      <c r="J150" s="27"/>
    </row>
    <row r="151" spans="1:10" x14ac:dyDescent="0.25">
      <c r="B151" s="102" t="s">
        <v>660</v>
      </c>
      <c r="C151" s="106" t="str">
        <f>C3</f>
        <v>German</v>
      </c>
      <c r="D151" s="77" t="str">
        <f>C4</f>
        <v>Svenska</v>
      </c>
      <c r="E151" s="77" t="str">
        <f>C5</f>
        <v>Français</v>
      </c>
      <c r="F151" s="77" t="str">
        <f>C6</f>
        <v>Español</v>
      </c>
      <c r="G151" s="77" t="str">
        <f>C7</f>
        <v>Russian</v>
      </c>
      <c r="H151" s="77" t="str">
        <f>C8</f>
        <v>Chinese （简体中文）</v>
      </c>
      <c r="I151" s="77">
        <f>C9</f>
        <v>0</v>
      </c>
      <c r="J151" s="77">
        <f>C10</f>
        <v>0</v>
      </c>
    </row>
    <row r="152" spans="1:10" x14ac:dyDescent="0.25">
      <c r="A152" s="30" t="s">
        <v>874</v>
      </c>
      <c r="B152" s="103" t="s">
        <v>662</v>
      </c>
      <c r="C152" t="s">
        <v>663</v>
      </c>
      <c r="D152" t="s">
        <v>664</v>
      </c>
      <c r="E152" t="s">
        <v>665</v>
      </c>
      <c r="F152" t="s">
        <v>666</v>
      </c>
      <c r="G152" t="s">
        <v>667</v>
      </c>
      <c r="H152" t="s">
        <v>668</v>
      </c>
      <c r="I152" s="65"/>
      <c r="J152" s="65"/>
    </row>
    <row r="153" spans="1:10" x14ac:dyDescent="0.25">
      <c r="A153" s="30" t="s">
        <v>875</v>
      </c>
      <c r="B153" s="104" t="s">
        <v>670</v>
      </c>
      <c r="C153" s="64" t="s">
        <v>671</v>
      </c>
      <c r="D153" s="64" t="s">
        <v>672</v>
      </c>
      <c r="E153" s="64" t="s">
        <v>673</v>
      </c>
      <c r="F153" s="64" t="s">
        <v>674</v>
      </c>
      <c r="G153" t="s">
        <v>675</v>
      </c>
      <c r="H153" t="s">
        <v>676</v>
      </c>
      <c r="I153" s="64"/>
      <c r="J153" s="64"/>
    </row>
    <row r="154" spans="1:10" x14ac:dyDescent="0.25">
      <c r="A154" s="30" t="s">
        <v>876</v>
      </c>
      <c r="B154" s="104" t="s">
        <v>678</v>
      </c>
      <c r="C154" s="64" t="s">
        <v>679</v>
      </c>
      <c r="D154" s="64" t="s">
        <v>680</v>
      </c>
      <c r="E154" s="64" t="s">
        <v>681</v>
      </c>
      <c r="F154" s="64" t="s">
        <v>682</v>
      </c>
      <c r="G154" s="64" t="s">
        <v>683</v>
      </c>
      <c r="H154" s="64" t="s">
        <v>684</v>
      </c>
      <c r="I154" s="64"/>
      <c r="J154" s="64"/>
    </row>
    <row r="155" spans="1:10" x14ac:dyDescent="0.25">
      <c r="A155" s="30" t="s">
        <v>44</v>
      </c>
      <c r="B155" s="104" t="s">
        <v>691</v>
      </c>
      <c r="C155" s="64" t="s">
        <v>692</v>
      </c>
      <c r="D155" s="64" t="s">
        <v>693</v>
      </c>
      <c r="E155" s="64" t="s">
        <v>694</v>
      </c>
      <c r="F155" s="64" t="s">
        <v>695</v>
      </c>
      <c r="G155" s="64" t="s">
        <v>696</v>
      </c>
      <c r="H155" s="64" t="s">
        <v>697</v>
      </c>
      <c r="I155" s="64"/>
      <c r="J155" s="64"/>
    </row>
    <row r="156" spans="1:10" x14ac:dyDescent="0.25">
      <c r="A156" s="30" t="s">
        <v>45</v>
      </c>
      <c r="B156" s="104" t="s">
        <v>877</v>
      </c>
      <c r="C156" s="64" t="s">
        <v>878</v>
      </c>
      <c r="D156" s="64" t="s">
        <v>879</v>
      </c>
      <c r="E156" s="64" t="s">
        <v>880</v>
      </c>
      <c r="F156" s="64" t="s">
        <v>881</v>
      </c>
      <c r="G156" s="64" t="s">
        <v>882</v>
      </c>
      <c r="H156" s="64" t="s">
        <v>883</v>
      </c>
      <c r="I156" s="64"/>
      <c r="J156" s="64"/>
    </row>
    <row r="157" spans="1:10" x14ac:dyDescent="0.25">
      <c r="A157" s="30" t="s">
        <v>46</v>
      </c>
      <c r="B157" s="104" t="s">
        <v>884</v>
      </c>
      <c r="C157" s="64" t="s">
        <v>885</v>
      </c>
      <c r="D157" s="64" t="s">
        <v>886</v>
      </c>
      <c r="E157" s="64" t="s">
        <v>887</v>
      </c>
      <c r="F157" s="64" t="s">
        <v>888</v>
      </c>
      <c r="G157" s="64" t="s">
        <v>889</v>
      </c>
      <c r="H157" s="64" t="s">
        <v>890</v>
      </c>
      <c r="I157" s="64"/>
      <c r="J157" s="64"/>
    </row>
    <row r="158" spans="1:10" ht="15" customHeight="1" x14ac:dyDescent="0.25">
      <c r="A158" s="30" t="s">
        <v>47</v>
      </c>
      <c r="B158" s="108" t="s">
        <v>891</v>
      </c>
      <c r="C158" s="64" t="s">
        <v>892</v>
      </c>
      <c r="D158" s="64" t="s">
        <v>893</v>
      </c>
      <c r="E158" s="64" t="s">
        <v>894</v>
      </c>
      <c r="F158" s="64" t="s">
        <v>895</v>
      </c>
      <c r="G158" s="64" t="s">
        <v>896</v>
      </c>
      <c r="H158" s="64" t="s">
        <v>897</v>
      </c>
      <c r="I158" s="64"/>
      <c r="J158" s="64"/>
    </row>
    <row r="159" spans="1:10" ht="15" customHeight="1" x14ac:dyDescent="0.25">
      <c r="A159" s="30" t="s">
        <v>49</v>
      </c>
      <c r="B159" s="108" t="s">
        <v>898</v>
      </c>
      <c r="C159" s="64" t="s">
        <v>899</v>
      </c>
      <c r="D159" s="64" t="s">
        <v>900</v>
      </c>
      <c r="E159" s="64" t="s">
        <v>901</v>
      </c>
      <c r="F159" s="64" t="s">
        <v>902</v>
      </c>
      <c r="G159" s="64" t="s">
        <v>903</v>
      </c>
      <c r="H159" s="64" t="s">
        <v>904</v>
      </c>
      <c r="I159" s="64"/>
      <c r="J159" s="64"/>
    </row>
    <row r="160" spans="1:10" x14ac:dyDescent="0.25">
      <c r="A160" s="30" t="s">
        <v>50</v>
      </c>
      <c r="B160" s="104" t="s">
        <v>905</v>
      </c>
      <c r="C160" s="64" t="s">
        <v>906</v>
      </c>
      <c r="D160" s="64" t="s">
        <v>907</v>
      </c>
      <c r="E160" s="64" t="s">
        <v>908</v>
      </c>
      <c r="F160" s="64" t="s">
        <v>909</v>
      </c>
      <c r="G160" s="64" t="s">
        <v>910</v>
      </c>
      <c r="H160" s="64" t="s">
        <v>911</v>
      </c>
      <c r="I160" s="64"/>
      <c r="J160" s="64"/>
    </row>
    <row r="161" spans="1:10" x14ac:dyDescent="0.25">
      <c r="A161" s="30" t="s">
        <v>51</v>
      </c>
      <c r="B161" s="104" t="s">
        <v>912</v>
      </c>
      <c r="C161" s="64" t="s">
        <v>912</v>
      </c>
      <c r="D161" s="64" t="s">
        <v>913</v>
      </c>
      <c r="E161" s="64" t="s">
        <v>912</v>
      </c>
      <c r="F161" s="64" t="s">
        <v>912</v>
      </c>
      <c r="G161" s="64" t="s">
        <v>912</v>
      </c>
      <c r="H161" s="64" t="s">
        <v>914</v>
      </c>
      <c r="I161" s="64"/>
      <c r="J161" s="64"/>
    </row>
    <row r="162" spans="1:10" x14ac:dyDescent="0.25">
      <c r="A162" s="30" t="s">
        <v>52</v>
      </c>
      <c r="B162" s="104" t="s">
        <v>915</v>
      </c>
      <c r="C162" s="64" t="s">
        <v>916</v>
      </c>
      <c r="D162" s="64" t="s">
        <v>917</v>
      </c>
      <c r="E162" s="64" t="s">
        <v>918</v>
      </c>
      <c r="F162" s="64" t="s">
        <v>919</v>
      </c>
      <c r="G162" s="64" t="s">
        <v>920</v>
      </c>
      <c r="H162" s="64" t="s">
        <v>921</v>
      </c>
      <c r="I162" s="64"/>
      <c r="J162" s="64"/>
    </row>
    <row r="163" spans="1:10" x14ac:dyDescent="0.25">
      <c r="A163" s="30" t="s">
        <v>54</v>
      </c>
      <c r="B163" s="104" t="s">
        <v>922</v>
      </c>
      <c r="C163" s="64" t="s">
        <v>141</v>
      </c>
      <c r="D163" s="64" t="s">
        <v>923</v>
      </c>
      <c r="E163" s="64" t="s">
        <v>924</v>
      </c>
      <c r="F163" s="64" t="s">
        <v>925</v>
      </c>
      <c r="G163" s="64" t="s">
        <v>145</v>
      </c>
      <c r="H163" s="64" t="s">
        <v>926</v>
      </c>
      <c r="I163" s="64"/>
      <c r="J163" s="64"/>
    </row>
    <row r="164" spans="1:10" x14ac:dyDescent="0.25">
      <c r="A164" s="30" t="s">
        <v>927</v>
      </c>
      <c r="B164" s="104" t="s">
        <v>928</v>
      </c>
      <c r="C164" s="64" t="s">
        <v>929</v>
      </c>
      <c r="D164" s="64" t="s">
        <v>930</v>
      </c>
      <c r="E164" s="64" t="s">
        <v>931</v>
      </c>
      <c r="F164" s="64" t="s">
        <v>932</v>
      </c>
      <c r="G164" s="64" t="s">
        <v>933</v>
      </c>
      <c r="H164" s="64" t="s">
        <v>934</v>
      </c>
      <c r="I164" s="64"/>
      <c r="J164" s="64"/>
    </row>
    <row r="165" spans="1:10" x14ac:dyDescent="0.25">
      <c r="A165" s="30" t="s">
        <v>55</v>
      </c>
      <c r="B165" s="104" t="s">
        <v>76</v>
      </c>
      <c r="C165" s="64" t="s">
        <v>935</v>
      </c>
      <c r="D165" s="64" t="s">
        <v>936</v>
      </c>
      <c r="E165" s="64" t="s">
        <v>937</v>
      </c>
      <c r="F165" s="64" t="s">
        <v>938</v>
      </c>
      <c r="G165" s="64" t="s">
        <v>939</v>
      </c>
      <c r="H165" s="64" t="s">
        <v>940</v>
      </c>
      <c r="I165" s="64"/>
      <c r="J165" s="64"/>
    </row>
    <row r="166" spans="1:10" x14ac:dyDescent="0.25">
      <c r="A166" s="30" t="s">
        <v>56</v>
      </c>
      <c r="B166" s="104" t="s">
        <v>941</v>
      </c>
      <c r="C166" s="64" t="s">
        <v>942</v>
      </c>
      <c r="D166" s="64" t="s">
        <v>943</v>
      </c>
      <c r="E166" s="64" t="s">
        <v>944</v>
      </c>
      <c r="F166" s="64" t="s">
        <v>945</v>
      </c>
      <c r="G166" s="64" t="s">
        <v>946</v>
      </c>
      <c r="H166" s="64" t="s">
        <v>947</v>
      </c>
      <c r="I166" s="64"/>
      <c r="J166" s="64"/>
    </row>
    <row r="167" spans="1:10" x14ac:dyDescent="0.25">
      <c r="A167" s="30" t="s">
        <v>57</v>
      </c>
      <c r="B167" s="104" t="s">
        <v>948</v>
      </c>
      <c r="C167" s="64" t="s">
        <v>949</v>
      </c>
      <c r="D167" s="64" t="s">
        <v>950</v>
      </c>
      <c r="E167" s="64" t="s">
        <v>951</v>
      </c>
      <c r="F167" s="64" t="s">
        <v>952</v>
      </c>
      <c r="G167" s="64" t="s">
        <v>953</v>
      </c>
      <c r="H167" s="64" t="s">
        <v>954</v>
      </c>
      <c r="I167" s="64"/>
      <c r="J167" s="64"/>
    </row>
    <row r="168" spans="1:10" x14ac:dyDescent="0.25">
      <c r="A168" s="30" t="s">
        <v>58</v>
      </c>
      <c r="B168" s="104" t="s">
        <v>77</v>
      </c>
      <c r="C168" s="64" t="s">
        <v>955</v>
      </c>
      <c r="D168" s="64" t="s">
        <v>956</v>
      </c>
      <c r="E168" s="64" t="s">
        <v>957</v>
      </c>
      <c r="F168" s="64" t="s">
        <v>958</v>
      </c>
      <c r="G168" s="64" t="s">
        <v>959</v>
      </c>
      <c r="H168" s="64" t="s">
        <v>960</v>
      </c>
      <c r="I168" s="64"/>
      <c r="J168" s="64"/>
    </row>
    <row r="169" spans="1:10" ht="30" x14ac:dyDescent="0.25">
      <c r="A169" s="30" t="s">
        <v>59</v>
      </c>
      <c r="B169" s="104" t="s">
        <v>961</v>
      </c>
      <c r="C169" s="64" t="s">
        <v>962</v>
      </c>
      <c r="D169" s="64" t="s">
        <v>963</v>
      </c>
      <c r="E169" s="64" t="s">
        <v>964</v>
      </c>
      <c r="F169" s="64" t="s">
        <v>965</v>
      </c>
      <c r="G169" s="64" t="s">
        <v>966</v>
      </c>
      <c r="H169" s="128" t="s">
        <v>967</v>
      </c>
      <c r="I169" s="64"/>
      <c r="J169" s="64"/>
    </row>
    <row r="170" spans="1:10" x14ac:dyDescent="0.25">
      <c r="A170" s="30" t="s">
        <v>60</v>
      </c>
      <c r="B170" s="104" t="s">
        <v>968</v>
      </c>
      <c r="C170" s="64" t="s">
        <v>969</v>
      </c>
      <c r="D170" s="64" t="s">
        <v>970</v>
      </c>
      <c r="E170" s="64" t="s">
        <v>971</v>
      </c>
      <c r="F170" s="64" t="s">
        <v>972</v>
      </c>
      <c r="G170" s="64" t="s">
        <v>276</v>
      </c>
      <c r="H170" s="64" t="s">
        <v>973</v>
      </c>
      <c r="I170" s="64"/>
      <c r="J170" s="64"/>
    </row>
    <row r="171" spans="1:10" x14ac:dyDescent="0.25">
      <c r="A171" s="30" t="s">
        <v>61</v>
      </c>
      <c r="B171" s="104" t="s">
        <v>80</v>
      </c>
      <c r="C171" s="64" t="s">
        <v>974</v>
      </c>
      <c r="D171" s="64" t="s">
        <v>975</v>
      </c>
      <c r="E171" s="64" t="s">
        <v>976</v>
      </c>
      <c r="F171" s="64" t="s">
        <v>977</v>
      </c>
      <c r="G171" s="64" t="s">
        <v>978</v>
      </c>
      <c r="H171" s="64" t="s">
        <v>979</v>
      </c>
      <c r="I171" s="64"/>
      <c r="J171" s="64"/>
    </row>
    <row r="172" spans="1:10" x14ac:dyDescent="0.25">
      <c r="A172" s="30" t="s">
        <v>62</v>
      </c>
      <c r="B172" s="104" t="s">
        <v>980</v>
      </c>
      <c r="C172" s="64" t="s">
        <v>981</v>
      </c>
      <c r="D172" s="64" t="s">
        <v>982</v>
      </c>
      <c r="E172" s="64" t="s">
        <v>983</v>
      </c>
      <c r="F172" s="64" t="s">
        <v>984</v>
      </c>
      <c r="G172" s="64" t="s">
        <v>985</v>
      </c>
      <c r="H172" s="64" t="s">
        <v>986</v>
      </c>
      <c r="I172" s="64"/>
      <c r="J172" s="64"/>
    </row>
    <row r="173" spans="1:10" ht="30" x14ac:dyDescent="0.25">
      <c r="A173" s="30" t="s">
        <v>63</v>
      </c>
      <c r="B173" s="108" t="s">
        <v>987</v>
      </c>
      <c r="C173" s="128" t="s">
        <v>988</v>
      </c>
      <c r="D173" s="128" t="s">
        <v>989</v>
      </c>
      <c r="E173" s="279" t="s">
        <v>990</v>
      </c>
      <c r="F173" s="279" t="s">
        <v>991</v>
      </c>
      <c r="G173" s="279" t="s">
        <v>992</v>
      </c>
      <c r="H173" s="79" t="s">
        <v>993</v>
      </c>
      <c r="I173" s="79"/>
      <c r="J173" s="79"/>
    </row>
    <row r="174" spans="1:10" x14ac:dyDescent="0.25">
      <c r="A174" s="30" t="s">
        <v>64</v>
      </c>
      <c r="B174" s="104" t="s">
        <v>994</v>
      </c>
      <c r="C174" s="64" t="s">
        <v>995</v>
      </c>
      <c r="D174" s="64" t="s">
        <v>996</v>
      </c>
      <c r="E174" s="79" t="s">
        <v>997</v>
      </c>
      <c r="F174" s="79" t="s">
        <v>447</v>
      </c>
      <c r="G174" s="79" t="s">
        <v>998</v>
      </c>
      <c r="H174" s="64" t="s">
        <v>999</v>
      </c>
      <c r="I174" s="64"/>
      <c r="J174" s="64"/>
    </row>
    <row r="175" spans="1:10" x14ac:dyDescent="0.25">
      <c r="A175" s="30" t="s">
        <v>65</v>
      </c>
      <c r="B175" s="104" t="s">
        <v>558</v>
      </c>
      <c r="C175" s="79" t="s">
        <v>559</v>
      </c>
      <c r="D175" s="79" t="s">
        <v>560</v>
      </c>
      <c r="E175" s="79" t="s">
        <v>561</v>
      </c>
      <c r="F175" s="79" t="s">
        <v>1000</v>
      </c>
      <c r="G175" s="79" t="s">
        <v>1001</v>
      </c>
      <c r="H175" s="79" t="s">
        <v>1002</v>
      </c>
      <c r="I175" s="79"/>
      <c r="J175" s="79"/>
    </row>
    <row r="176" spans="1:10" x14ac:dyDescent="0.25">
      <c r="A176" s="30" t="s">
        <v>53</v>
      </c>
      <c r="B176" s="104" t="s">
        <v>741</v>
      </c>
      <c r="C176" s="64" t="s">
        <v>742</v>
      </c>
      <c r="D176" s="64" t="s">
        <v>743</v>
      </c>
      <c r="E176" s="64" t="s">
        <v>744</v>
      </c>
      <c r="F176" s="64" t="s">
        <v>745</v>
      </c>
      <c r="G176" s="64" t="s">
        <v>746</v>
      </c>
      <c r="H176" s="79" t="s">
        <v>1003</v>
      </c>
      <c r="I176" s="79"/>
      <c r="J176" s="79"/>
    </row>
    <row r="177" spans="1:10" x14ac:dyDescent="0.25">
      <c r="A177" s="30" t="s">
        <v>66</v>
      </c>
      <c r="B177" s="104" t="s">
        <v>1004</v>
      </c>
      <c r="C177" s="64" t="s">
        <v>1005</v>
      </c>
      <c r="D177" s="64" t="s">
        <v>1006</v>
      </c>
      <c r="E177" s="64" t="s">
        <v>1007</v>
      </c>
      <c r="F177" s="64" t="s">
        <v>1008</v>
      </c>
      <c r="G177" s="64" t="s">
        <v>1009</v>
      </c>
      <c r="H177" s="64" t="s">
        <v>1010</v>
      </c>
      <c r="I177" s="64"/>
      <c r="J177" s="64"/>
    </row>
    <row r="178" spans="1:10" x14ac:dyDescent="0.25">
      <c r="A178" s="30" t="s">
        <v>1011</v>
      </c>
      <c r="B178" s="104" t="s">
        <v>1004</v>
      </c>
      <c r="C178" s="64" t="s">
        <v>1005</v>
      </c>
      <c r="D178" s="64" t="s">
        <v>1006</v>
      </c>
      <c r="E178" s="64" t="s">
        <v>1007</v>
      </c>
      <c r="F178" s="64" t="s">
        <v>1008</v>
      </c>
      <c r="G178" s="64" t="s">
        <v>1009</v>
      </c>
      <c r="H178" s="64" t="s">
        <v>1012</v>
      </c>
      <c r="I178" s="64"/>
      <c r="J178" s="64"/>
    </row>
    <row r="179" spans="1:10" x14ac:dyDescent="0.25">
      <c r="A179" s="30" t="s">
        <v>1013</v>
      </c>
      <c r="B179" s="109" t="s">
        <v>832</v>
      </c>
      <c r="C179" s="64" t="s">
        <v>833</v>
      </c>
      <c r="D179" s="64" t="s">
        <v>335</v>
      </c>
      <c r="E179" s="64" t="s">
        <v>336</v>
      </c>
      <c r="F179" s="64" t="s">
        <v>1014</v>
      </c>
      <c r="G179" s="64" t="s">
        <v>338</v>
      </c>
      <c r="H179" s="64" t="s">
        <v>1015</v>
      </c>
      <c r="I179" s="64"/>
      <c r="J179" s="64"/>
    </row>
    <row r="180" spans="1:10" x14ac:dyDescent="0.25">
      <c r="A180" s="30" t="s">
        <v>1016</v>
      </c>
      <c r="B180" s="104" t="s">
        <v>836</v>
      </c>
      <c r="C180" s="64" t="s">
        <v>837</v>
      </c>
      <c r="D180" s="64" t="s">
        <v>122</v>
      </c>
      <c r="E180" s="64" t="s">
        <v>838</v>
      </c>
      <c r="F180" s="64" t="s">
        <v>1017</v>
      </c>
      <c r="G180" s="64" t="s">
        <v>840</v>
      </c>
      <c r="H180" s="64" t="s">
        <v>834</v>
      </c>
      <c r="I180" s="64"/>
      <c r="J180" s="64"/>
    </row>
    <row r="181" spans="1:10" x14ac:dyDescent="0.25">
      <c r="A181" s="30" t="s">
        <v>1018</v>
      </c>
      <c r="B181" s="104" t="s">
        <v>1019</v>
      </c>
      <c r="C181" s="64" t="s">
        <v>1020</v>
      </c>
      <c r="D181" s="64" t="s">
        <v>1021</v>
      </c>
      <c r="E181" s="64" t="s">
        <v>1022</v>
      </c>
      <c r="F181" s="64" t="s">
        <v>412</v>
      </c>
      <c r="G181" s="64" t="s">
        <v>1023</v>
      </c>
      <c r="H181" s="64" t="s">
        <v>652</v>
      </c>
      <c r="I181" s="64"/>
      <c r="J181" s="64"/>
    </row>
    <row r="182" spans="1:10" x14ac:dyDescent="0.25">
      <c r="A182" s="30" t="s">
        <v>1024</v>
      </c>
      <c r="B182" s="104" t="s">
        <v>1025</v>
      </c>
      <c r="C182" s="64" t="s">
        <v>1026</v>
      </c>
      <c r="D182" s="64" t="s">
        <v>1027</v>
      </c>
      <c r="E182" s="64" t="s">
        <v>1028</v>
      </c>
      <c r="F182" s="64" t="s">
        <v>1029</v>
      </c>
      <c r="G182" s="64" t="s">
        <v>1030</v>
      </c>
      <c r="H182" s="64" t="s">
        <v>1031</v>
      </c>
      <c r="I182" s="64"/>
      <c r="J182" s="64"/>
    </row>
    <row r="183" spans="1:10" x14ac:dyDescent="0.25">
      <c r="A183" s="30" t="s">
        <v>1032</v>
      </c>
      <c r="B183" s="104" t="s">
        <v>1033</v>
      </c>
      <c r="C183" s="64" t="s">
        <v>1034</v>
      </c>
      <c r="D183" s="64" t="s">
        <v>1035</v>
      </c>
      <c r="E183" s="64" t="s">
        <v>1036</v>
      </c>
      <c r="F183" s="64" t="s">
        <v>977</v>
      </c>
      <c r="G183" s="64" t="s">
        <v>1037</v>
      </c>
      <c r="H183" s="64" t="s">
        <v>1038</v>
      </c>
      <c r="I183" s="64"/>
      <c r="J183" s="64"/>
    </row>
    <row r="184" spans="1:10" x14ac:dyDescent="0.25">
      <c r="A184" s="30" t="s">
        <v>1039</v>
      </c>
      <c r="B184" s="109" t="s">
        <v>1040</v>
      </c>
      <c r="C184" s="127" t="s">
        <v>1041</v>
      </c>
      <c r="D184" s="127" t="s">
        <v>1042</v>
      </c>
      <c r="E184" s="64" t="s">
        <v>1043</v>
      </c>
      <c r="F184" s="64" t="s">
        <v>1044</v>
      </c>
      <c r="G184" s="64" t="s">
        <v>1045</v>
      </c>
      <c r="H184" s="64" t="s">
        <v>979</v>
      </c>
      <c r="I184" s="64"/>
      <c r="J184" s="64"/>
    </row>
    <row r="185" spans="1:10" x14ac:dyDescent="0.25">
      <c r="A185" s="30" t="s">
        <v>1046</v>
      </c>
      <c r="B185" s="109" t="s">
        <v>1047</v>
      </c>
      <c r="C185" s="64" t="s">
        <v>1048</v>
      </c>
      <c r="D185" s="64" t="s">
        <v>936</v>
      </c>
      <c r="E185" s="64" t="s">
        <v>1049</v>
      </c>
      <c r="F185" s="64" t="s">
        <v>1050</v>
      </c>
      <c r="G185" s="64" t="s">
        <v>563</v>
      </c>
      <c r="H185" s="64" t="s">
        <v>1051</v>
      </c>
      <c r="I185" s="64"/>
      <c r="J185" s="64"/>
    </row>
    <row r="186" spans="1:10" x14ac:dyDescent="0.25">
      <c r="A186" s="30" t="s">
        <v>1052</v>
      </c>
      <c r="B186" s="104" t="s">
        <v>1053</v>
      </c>
      <c r="C186" s="64" t="s">
        <v>1054</v>
      </c>
      <c r="D186" s="64" t="s">
        <v>1055</v>
      </c>
      <c r="E186" s="64" t="s">
        <v>1056</v>
      </c>
      <c r="F186" s="64" t="s">
        <v>440</v>
      </c>
      <c r="G186" s="64" t="s">
        <v>1057</v>
      </c>
      <c r="H186" s="64" t="s">
        <v>1058</v>
      </c>
      <c r="I186" s="64"/>
      <c r="J186" s="64"/>
    </row>
    <row r="187" spans="1:10" x14ac:dyDescent="0.25">
      <c r="A187" s="30" t="s">
        <v>1059</v>
      </c>
      <c r="B187" s="104" t="s">
        <v>861</v>
      </c>
      <c r="C187" s="64" t="s">
        <v>862</v>
      </c>
      <c r="D187" s="64" t="s">
        <v>863</v>
      </c>
      <c r="E187" s="64" t="s">
        <v>864</v>
      </c>
      <c r="F187" s="64" t="s">
        <v>1060</v>
      </c>
      <c r="G187" s="64" t="s">
        <v>783</v>
      </c>
      <c r="H187" s="64" t="s">
        <v>993</v>
      </c>
      <c r="I187" s="64"/>
      <c r="J187" s="64"/>
    </row>
    <row r="188" spans="1:10" ht="15.75" thickBot="1" x14ac:dyDescent="0.3">
      <c r="A188" s="30" t="s">
        <v>1061</v>
      </c>
      <c r="B188" s="105" t="s">
        <v>558</v>
      </c>
      <c r="C188" s="64" t="s">
        <v>559</v>
      </c>
      <c r="D188" s="64" t="s">
        <v>560</v>
      </c>
      <c r="E188" s="64" t="s">
        <v>561</v>
      </c>
      <c r="F188" s="64" t="s">
        <v>1000</v>
      </c>
      <c r="G188" s="64" t="s">
        <v>563</v>
      </c>
      <c r="H188" s="64" t="s">
        <v>866</v>
      </c>
      <c r="I188" s="64"/>
      <c r="J188" s="64"/>
    </row>
    <row r="189" spans="1:10" x14ac:dyDescent="0.25">
      <c r="A189" s="30" t="s">
        <v>67</v>
      </c>
      <c r="B189" s="109" t="s">
        <v>1062</v>
      </c>
      <c r="C189" s="127" t="s">
        <v>1063</v>
      </c>
      <c r="D189" t="s">
        <v>1064</v>
      </c>
      <c r="E189" s="64" t="s">
        <v>1065</v>
      </c>
      <c r="F189" s="64" t="s">
        <v>1066</v>
      </c>
      <c r="G189" s="64" t="s">
        <v>1067</v>
      </c>
      <c r="H189" s="64" t="s">
        <v>1068</v>
      </c>
      <c r="I189" s="64"/>
      <c r="J189" s="64"/>
    </row>
    <row r="190" spans="1:10" x14ac:dyDescent="0.25">
      <c r="A190" s="30" t="s">
        <v>68</v>
      </c>
      <c r="B190" s="109" t="s">
        <v>83</v>
      </c>
      <c r="C190" s="127" t="s">
        <v>1069</v>
      </c>
      <c r="D190" s="127" t="s">
        <v>1070</v>
      </c>
      <c r="E190" s="64" t="s">
        <v>1065</v>
      </c>
      <c r="F190" s="64" t="s">
        <v>1071</v>
      </c>
      <c r="G190" s="64" t="s">
        <v>1072</v>
      </c>
      <c r="H190" s="64" t="s">
        <v>1073</v>
      </c>
      <c r="I190" s="64"/>
      <c r="J190" s="64"/>
    </row>
    <row r="191" spans="1:10" x14ac:dyDescent="0.25">
      <c r="A191" s="30" t="s">
        <v>69</v>
      </c>
      <c r="B191" s="109" t="s">
        <v>84</v>
      </c>
      <c r="C191" s="127" t="s">
        <v>1074</v>
      </c>
      <c r="D191" s="127" t="s">
        <v>1075</v>
      </c>
      <c r="E191" s="127" t="s">
        <v>1076</v>
      </c>
      <c r="F191" s="127" t="s">
        <v>1077</v>
      </c>
      <c r="G191" s="127" t="s">
        <v>1078</v>
      </c>
      <c r="H191" t="s">
        <v>1079</v>
      </c>
      <c r="I191" s="64"/>
      <c r="J191" s="64"/>
    </row>
    <row r="192" spans="1:10" x14ac:dyDescent="0.25">
      <c r="A192" s="30" t="s">
        <v>70</v>
      </c>
      <c r="B192" s="109" t="s">
        <v>1080</v>
      </c>
      <c r="C192" s="127" t="s">
        <v>1081</v>
      </c>
      <c r="D192" s="127" t="s">
        <v>1082</v>
      </c>
      <c r="E192" s="64" t="s">
        <v>1083</v>
      </c>
      <c r="F192" s="64" t="s">
        <v>1084</v>
      </c>
      <c r="G192" t="s">
        <v>1085</v>
      </c>
      <c r="H192" s="64" t="s">
        <v>1086</v>
      </c>
      <c r="I192" s="64"/>
      <c r="J192" s="64"/>
    </row>
    <row r="193" spans="1:10" x14ac:dyDescent="0.25">
      <c r="A193" s="30" t="s">
        <v>71</v>
      </c>
      <c r="B193" s="109" t="s">
        <v>1087</v>
      </c>
      <c r="C193" s="127" t="s">
        <v>1088</v>
      </c>
      <c r="D193" s="127" t="s">
        <v>1089</v>
      </c>
      <c r="E193" s="64" t="s">
        <v>1090</v>
      </c>
      <c r="F193" s="64" t="s">
        <v>1091</v>
      </c>
      <c r="G193" s="64" t="s">
        <v>1087</v>
      </c>
      <c r="H193" s="64" t="s">
        <v>1092</v>
      </c>
      <c r="I193" s="64"/>
      <c r="J193" s="64"/>
    </row>
    <row r="194" spans="1:10" x14ac:dyDescent="0.25">
      <c r="A194" s="30" t="s">
        <v>72</v>
      </c>
      <c r="B194" s="109" t="s">
        <v>1093</v>
      </c>
      <c r="C194" s="127" t="s">
        <v>1094</v>
      </c>
      <c r="D194" s="127" t="s">
        <v>1095</v>
      </c>
      <c r="E194" s="64" t="s">
        <v>1096</v>
      </c>
      <c r="F194" s="64" t="s">
        <v>1097</v>
      </c>
      <c r="G194" t="s">
        <v>1098</v>
      </c>
      <c r="H194" s="64" t="s">
        <v>1099</v>
      </c>
      <c r="I194" s="64"/>
      <c r="J194" s="64"/>
    </row>
    <row r="195" spans="1:10" ht="15.75" thickBot="1" x14ac:dyDescent="0.3">
      <c r="A195" s="30" t="s">
        <v>73</v>
      </c>
      <c r="B195" s="109" t="s">
        <v>1100</v>
      </c>
      <c r="C195" s="127" t="s">
        <v>1101</v>
      </c>
      <c r="D195" s="64" t="s">
        <v>1102</v>
      </c>
      <c r="E195" s="64" t="s">
        <v>1103</v>
      </c>
      <c r="F195" s="64" t="s">
        <v>1104</v>
      </c>
      <c r="G195" s="64" t="s">
        <v>1105</v>
      </c>
      <c r="H195" s="64" t="s">
        <v>1106</v>
      </c>
      <c r="I195" s="64"/>
      <c r="J195" s="64"/>
    </row>
    <row r="196" spans="1:10" x14ac:dyDescent="0.25">
      <c r="A196" s="30" t="s">
        <v>1107</v>
      </c>
      <c r="B196" s="102" t="s">
        <v>1108</v>
      </c>
      <c r="C196" s="68" t="s">
        <v>1109</v>
      </c>
      <c r="D196" s="68" t="s">
        <v>1110</v>
      </c>
      <c r="E196" s="68" t="s">
        <v>1111</v>
      </c>
      <c r="F196" s="68" t="s">
        <v>1112</v>
      </c>
      <c r="G196" s="68" t="s">
        <v>1113</v>
      </c>
      <c r="H196" s="68" t="s">
        <v>1114</v>
      </c>
      <c r="I196" s="64"/>
      <c r="J196" s="64"/>
    </row>
    <row r="197" spans="1:10" ht="15.75" thickBot="1" x14ac:dyDescent="0.3"/>
    <row r="198" spans="1:10" ht="30" customHeight="1" thickBot="1" x14ac:dyDescent="0.3">
      <c r="B198" s="107" t="s">
        <v>120</v>
      </c>
      <c r="C198" s="27" t="s">
        <v>163</v>
      </c>
      <c r="D198" s="98" t="s">
        <v>164</v>
      </c>
      <c r="E198" s="188" t="s">
        <v>165</v>
      </c>
      <c r="F198" s="27" t="s">
        <v>166</v>
      </c>
      <c r="G198" s="27" t="s">
        <v>167</v>
      </c>
      <c r="H198" s="160"/>
      <c r="I198" s="160"/>
      <c r="J198" s="160"/>
    </row>
    <row r="199" spans="1:10" x14ac:dyDescent="0.25">
      <c r="B199" s="102" t="s">
        <v>660</v>
      </c>
      <c r="C199" s="106" t="str">
        <f>C3</f>
        <v>German</v>
      </c>
      <c r="D199" s="77" t="str">
        <f>C4</f>
        <v>Svenska</v>
      </c>
      <c r="E199" s="77" t="str">
        <f>C5</f>
        <v>Français</v>
      </c>
      <c r="F199" s="77" t="str">
        <f>C6</f>
        <v>Español</v>
      </c>
      <c r="G199" s="77" t="str">
        <f>C7</f>
        <v>Russian</v>
      </c>
      <c r="H199" s="77" t="str">
        <f>C8</f>
        <v>Chinese （简体中文）</v>
      </c>
      <c r="I199" s="77">
        <f>C9</f>
        <v>0</v>
      </c>
      <c r="J199" s="77">
        <f>C10</f>
        <v>0</v>
      </c>
    </row>
    <row r="200" spans="1:10" x14ac:dyDescent="0.25">
      <c r="A200" s="30" t="s">
        <v>1115</v>
      </c>
      <c r="B200" s="103" t="s">
        <v>662</v>
      </c>
      <c r="C200" t="s">
        <v>663</v>
      </c>
      <c r="D200" t="s">
        <v>664</v>
      </c>
      <c r="E200" t="s">
        <v>665</v>
      </c>
      <c r="F200" t="s">
        <v>666</v>
      </c>
      <c r="G200" t="s">
        <v>667</v>
      </c>
      <c r="H200" t="s">
        <v>668</v>
      </c>
      <c r="I200" s="65"/>
      <c r="J200" s="65"/>
    </row>
    <row r="201" spans="1:10" x14ac:dyDescent="0.25">
      <c r="A201" s="30" t="s">
        <v>1116</v>
      </c>
      <c r="B201" s="104" t="s">
        <v>670</v>
      </c>
      <c r="C201" s="64" t="s">
        <v>671</v>
      </c>
      <c r="D201" s="64" t="s">
        <v>672</v>
      </c>
      <c r="E201" s="64" t="s">
        <v>673</v>
      </c>
      <c r="F201" s="64" t="s">
        <v>674</v>
      </c>
      <c r="G201" t="s">
        <v>675</v>
      </c>
      <c r="H201" t="s">
        <v>676</v>
      </c>
      <c r="I201" s="64"/>
      <c r="J201" s="64"/>
    </row>
    <row r="202" spans="1:10" x14ac:dyDescent="0.25">
      <c r="A202" s="30" t="s">
        <v>1117</v>
      </c>
      <c r="B202" s="104" t="s">
        <v>678</v>
      </c>
      <c r="C202" s="64" t="s">
        <v>679</v>
      </c>
      <c r="D202" s="64" t="s">
        <v>680</v>
      </c>
      <c r="E202" s="64" t="s">
        <v>681</v>
      </c>
      <c r="F202" s="64" t="s">
        <v>682</v>
      </c>
      <c r="G202" s="64" t="s">
        <v>683</v>
      </c>
      <c r="H202" s="64" t="s">
        <v>684</v>
      </c>
      <c r="I202" s="64"/>
      <c r="J202" s="64"/>
    </row>
    <row r="203" spans="1:10" x14ac:dyDescent="0.25">
      <c r="A203" s="30" t="s">
        <v>1118</v>
      </c>
      <c r="B203" s="104" t="s">
        <v>1119</v>
      </c>
      <c r="C203" s="81" t="s">
        <v>1119</v>
      </c>
      <c r="D203" s="64" t="s">
        <v>1120</v>
      </c>
      <c r="E203" s="64" t="s">
        <v>1121</v>
      </c>
      <c r="F203" s="64" t="s">
        <v>1122</v>
      </c>
      <c r="G203" s="64" t="s">
        <v>1123</v>
      </c>
      <c r="H203" s="64" t="s">
        <v>1124</v>
      </c>
      <c r="I203" s="64"/>
      <c r="J203" s="64"/>
    </row>
    <row r="204" spans="1:10" x14ac:dyDescent="0.25">
      <c r="A204" s="30" t="s">
        <v>91</v>
      </c>
      <c r="B204" s="104" t="s">
        <v>691</v>
      </c>
      <c r="C204" s="81" t="s">
        <v>691</v>
      </c>
      <c r="D204" s="64" t="s">
        <v>687</v>
      </c>
      <c r="E204" s="64" t="s">
        <v>1125</v>
      </c>
      <c r="F204" s="64" t="s">
        <v>695</v>
      </c>
      <c r="G204" s="64" t="s">
        <v>1126</v>
      </c>
      <c r="H204" s="64" t="s">
        <v>697</v>
      </c>
      <c r="I204" s="64"/>
      <c r="J204" s="64"/>
    </row>
    <row r="205" spans="1:10" x14ac:dyDescent="0.25">
      <c r="A205" s="30" t="s">
        <v>92</v>
      </c>
      <c r="B205" s="104" t="s">
        <v>1127</v>
      </c>
      <c r="C205" s="81" t="s">
        <v>1127</v>
      </c>
      <c r="D205" s="64" t="s">
        <v>1128</v>
      </c>
      <c r="E205" s="64" t="s">
        <v>1129</v>
      </c>
      <c r="F205" s="64" t="s">
        <v>1130</v>
      </c>
      <c r="G205" s="64" t="s">
        <v>1131</v>
      </c>
      <c r="H205" s="64" t="s">
        <v>1132</v>
      </c>
      <c r="I205" s="64"/>
      <c r="J205" s="64"/>
    </row>
    <row r="206" spans="1:10" x14ac:dyDescent="0.25">
      <c r="A206" s="30" t="s">
        <v>93</v>
      </c>
      <c r="B206" s="104" t="s">
        <v>1133</v>
      </c>
      <c r="C206" s="81" t="s">
        <v>1133</v>
      </c>
      <c r="D206" s="64" t="s">
        <v>1134</v>
      </c>
      <c r="E206" s="64" t="s">
        <v>1135</v>
      </c>
      <c r="F206" s="64" t="s">
        <v>1136</v>
      </c>
      <c r="G206" s="64" t="s">
        <v>1137</v>
      </c>
      <c r="H206" s="64" t="s">
        <v>1138</v>
      </c>
      <c r="I206" s="64"/>
      <c r="J206" s="64"/>
    </row>
    <row r="207" spans="1:10" x14ac:dyDescent="0.25">
      <c r="A207" s="30" t="s">
        <v>96</v>
      </c>
      <c r="B207" s="104" t="s">
        <v>748</v>
      </c>
      <c r="C207" s="81" t="s">
        <v>748</v>
      </c>
      <c r="D207" s="64" t="s">
        <v>750</v>
      </c>
      <c r="E207" s="64" t="s">
        <v>751</v>
      </c>
      <c r="F207" s="64" t="s">
        <v>1139</v>
      </c>
      <c r="G207" s="64" t="s">
        <v>1140</v>
      </c>
      <c r="H207" s="64" t="s">
        <v>753</v>
      </c>
      <c r="I207" s="64"/>
      <c r="J207" s="64"/>
    </row>
    <row r="208" spans="1:10" x14ac:dyDescent="0.25">
      <c r="A208" s="30" t="s">
        <v>97</v>
      </c>
      <c r="B208" s="104" t="s">
        <v>1141</v>
      </c>
      <c r="C208" s="81" t="s">
        <v>1141</v>
      </c>
      <c r="D208" s="64" t="s">
        <v>1142</v>
      </c>
      <c r="E208" s="64" t="s">
        <v>1143</v>
      </c>
      <c r="F208" s="64" t="s">
        <v>1144</v>
      </c>
      <c r="G208" s="64" t="s">
        <v>1145</v>
      </c>
      <c r="H208" s="64" t="s">
        <v>1146</v>
      </c>
      <c r="I208" s="64"/>
      <c r="J208" s="64"/>
    </row>
    <row r="209" spans="1:10" x14ac:dyDescent="0.25">
      <c r="A209" s="30" t="s">
        <v>98</v>
      </c>
      <c r="B209" s="104" t="s">
        <v>761</v>
      </c>
      <c r="C209" s="81" t="s">
        <v>761</v>
      </c>
      <c r="D209" s="64" t="s">
        <v>763</v>
      </c>
      <c r="E209" s="64" t="s">
        <v>764</v>
      </c>
      <c r="F209" s="64" t="s">
        <v>765</v>
      </c>
      <c r="G209" s="64" t="s">
        <v>766</v>
      </c>
      <c r="H209" s="64" t="s">
        <v>767</v>
      </c>
      <c r="I209" s="64"/>
      <c r="J209" s="64"/>
    </row>
    <row r="210" spans="1:10" x14ac:dyDescent="0.25">
      <c r="A210" s="30" t="s">
        <v>99</v>
      </c>
      <c r="B210" s="104" t="s">
        <v>1147</v>
      </c>
      <c r="C210" s="81" t="s">
        <v>1147</v>
      </c>
      <c r="D210" s="64" t="s">
        <v>1142</v>
      </c>
      <c r="E210" s="64" t="s">
        <v>1148</v>
      </c>
      <c r="F210" s="64" t="s">
        <v>1149</v>
      </c>
      <c r="G210" s="64" t="s">
        <v>1150</v>
      </c>
      <c r="H210" s="64" t="s">
        <v>1151</v>
      </c>
      <c r="I210" s="64"/>
      <c r="J210" s="64"/>
    </row>
    <row r="211" spans="1:10" x14ac:dyDescent="0.25">
      <c r="A211" s="30" t="s">
        <v>94</v>
      </c>
      <c r="B211" s="104" t="s">
        <v>1152</v>
      </c>
      <c r="C211" s="81" t="s">
        <v>1152</v>
      </c>
      <c r="D211" s="64" t="s">
        <v>1153</v>
      </c>
      <c r="E211" s="64" t="s">
        <v>1154</v>
      </c>
      <c r="F211" s="64" t="s">
        <v>1155</v>
      </c>
      <c r="G211" s="64" t="s">
        <v>1156</v>
      </c>
      <c r="H211" s="64" t="s">
        <v>1157</v>
      </c>
      <c r="I211" s="64"/>
      <c r="J211" s="64"/>
    </row>
    <row r="212" spans="1:10" x14ac:dyDescent="0.25">
      <c r="A212" s="30" t="s">
        <v>100</v>
      </c>
      <c r="B212" s="104" t="s">
        <v>1158</v>
      </c>
      <c r="C212" s="81" t="s">
        <v>1158</v>
      </c>
      <c r="D212" s="64" t="s">
        <v>1159</v>
      </c>
      <c r="E212" s="64" t="s">
        <v>1160</v>
      </c>
      <c r="F212" s="64" t="s">
        <v>1161</v>
      </c>
      <c r="G212" s="64" t="s">
        <v>1162</v>
      </c>
      <c r="H212" s="64" t="s">
        <v>1163</v>
      </c>
      <c r="I212" s="64"/>
      <c r="J212" s="64"/>
    </row>
    <row r="213" spans="1:10" x14ac:dyDescent="0.25">
      <c r="A213" s="30" t="s">
        <v>101</v>
      </c>
      <c r="B213" s="104" t="s">
        <v>1164</v>
      </c>
      <c r="C213" s="81" t="s">
        <v>1164</v>
      </c>
      <c r="D213" s="64" t="s">
        <v>1165</v>
      </c>
      <c r="E213" s="64" t="s">
        <v>1166</v>
      </c>
      <c r="F213" s="64" t="s">
        <v>1167</v>
      </c>
      <c r="G213" s="64" t="s">
        <v>1168</v>
      </c>
      <c r="H213" s="64" t="s">
        <v>1169</v>
      </c>
      <c r="I213" s="64"/>
      <c r="J213" s="64"/>
    </row>
    <row r="214" spans="1:10" x14ac:dyDescent="0.25">
      <c r="A214" s="30" t="s">
        <v>102</v>
      </c>
      <c r="B214" s="104" t="s">
        <v>1170</v>
      </c>
      <c r="C214" s="81" t="s">
        <v>1170</v>
      </c>
      <c r="D214" s="64" t="s">
        <v>1171</v>
      </c>
      <c r="E214" s="64" t="s">
        <v>1172</v>
      </c>
      <c r="F214" s="64" t="s">
        <v>1173</v>
      </c>
      <c r="G214" s="64" t="s">
        <v>1174</v>
      </c>
      <c r="H214" s="64" t="s">
        <v>1175</v>
      </c>
      <c r="I214" s="64"/>
      <c r="J214" s="64"/>
    </row>
    <row r="215" spans="1:10" x14ac:dyDescent="0.25">
      <c r="A215" s="30" t="s">
        <v>95</v>
      </c>
      <c r="B215" s="104" t="s">
        <v>1176</v>
      </c>
      <c r="C215" s="81" t="s">
        <v>1176</v>
      </c>
      <c r="D215" s="64" t="s">
        <v>1177</v>
      </c>
      <c r="E215" s="64" t="s">
        <v>1178</v>
      </c>
      <c r="F215" s="64" t="s">
        <v>1179</v>
      </c>
      <c r="G215" s="64" t="s">
        <v>1180</v>
      </c>
      <c r="H215" s="64" t="s">
        <v>1181</v>
      </c>
      <c r="I215" s="64"/>
      <c r="J215" s="64"/>
    </row>
    <row r="216" spans="1:10" x14ac:dyDescent="0.25">
      <c r="A216" s="30" t="s">
        <v>103</v>
      </c>
      <c r="B216" s="104" t="s">
        <v>1182</v>
      </c>
      <c r="C216" s="81" t="s">
        <v>1182</v>
      </c>
      <c r="D216" s="64" t="s">
        <v>1183</v>
      </c>
      <c r="E216" s="64" t="s">
        <v>1184</v>
      </c>
      <c r="F216" s="64" t="s">
        <v>1185</v>
      </c>
      <c r="G216" s="64" t="s">
        <v>1186</v>
      </c>
      <c r="H216" s="64" t="s">
        <v>1187</v>
      </c>
      <c r="I216" s="64"/>
      <c r="J216" s="64"/>
    </row>
    <row r="217" spans="1:10" x14ac:dyDescent="0.25">
      <c r="A217" s="30" t="s">
        <v>1188</v>
      </c>
      <c r="B217" s="104" t="s">
        <v>832</v>
      </c>
      <c r="C217" s="81" t="s">
        <v>832</v>
      </c>
      <c r="D217" s="64" t="s">
        <v>833</v>
      </c>
      <c r="E217" s="64" t="s">
        <v>336</v>
      </c>
      <c r="F217" s="64" t="s">
        <v>1189</v>
      </c>
      <c r="G217" s="64" t="s">
        <v>338</v>
      </c>
      <c r="H217" s="64" t="s">
        <v>834</v>
      </c>
      <c r="I217" s="64"/>
      <c r="J217" s="64"/>
    </row>
    <row r="218" spans="1:10" x14ac:dyDescent="0.25">
      <c r="A218" s="30" t="s">
        <v>1190</v>
      </c>
      <c r="B218" s="104" t="s">
        <v>836</v>
      </c>
      <c r="C218" s="81" t="s">
        <v>836</v>
      </c>
      <c r="D218" s="64" t="s">
        <v>122</v>
      </c>
      <c r="E218" s="64" t="s">
        <v>838</v>
      </c>
      <c r="F218" s="64" t="s">
        <v>648</v>
      </c>
      <c r="G218" s="64" t="s">
        <v>840</v>
      </c>
      <c r="H218" s="64" t="s">
        <v>652</v>
      </c>
      <c r="I218" s="64"/>
      <c r="J218" s="64"/>
    </row>
    <row r="219" spans="1:10" x14ac:dyDescent="0.25">
      <c r="A219" s="30" t="s">
        <v>1191</v>
      </c>
      <c r="B219" s="104" t="s">
        <v>1192</v>
      </c>
      <c r="C219" s="81" t="s">
        <v>1192</v>
      </c>
      <c r="D219" s="64" t="s">
        <v>1193</v>
      </c>
      <c r="E219" s="64" t="s">
        <v>1194</v>
      </c>
      <c r="F219" s="64" t="s">
        <v>1195</v>
      </c>
      <c r="G219" s="64" t="s">
        <v>1162</v>
      </c>
      <c r="H219" s="64" t="s">
        <v>1196</v>
      </c>
      <c r="I219" s="64"/>
      <c r="J219" s="64"/>
    </row>
    <row r="220" spans="1:10" x14ac:dyDescent="0.25">
      <c r="A220" s="30" t="s">
        <v>1197</v>
      </c>
      <c r="B220" s="104" t="s">
        <v>1198</v>
      </c>
      <c r="C220" s="81" t="s">
        <v>1198</v>
      </c>
      <c r="D220" s="64" t="s">
        <v>1199</v>
      </c>
      <c r="E220" s="64" t="s">
        <v>1200</v>
      </c>
      <c r="F220" s="64" t="s">
        <v>1167</v>
      </c>
      <c r="G220" s="64" t="s">
        <v>1201</v>
      </c>
      <c r="H220" s="64" t="s">
        <v>1169</v>
      </c>
      <c r="I220" s="64"/>
      <c r="J220" s="64"/>
    </row>
    <row r="221" spans="1:10" x14ac:dyDescent="0.25">
      <c r="A221" s="30" t="s">
        <v>1202</v>
      </c>
      <c r="B221" s="117" t="s">
        <v>1203</v>
      </c>
      <c r="C221" s="219" t="s">
        <v>1203</v>
      </c>
      <c r="D221" s="79" t="s">
        <v>1204</v>
      </c>
      <c r="E221" s="64" t="s">
        <v>1205</v>
      </c>
      <c r="F221" s="64" t="s">
        <v>1206</v>
      </c>
      <c r="G221" s="64" t="s">
        <v>1207</v>
      </c>
      <c r="H221" s="64" t="s">
        <v>1208</v>
      </c>
      <c r="I221" s="64"/>
      <c r="J221" s="64"/>
    </row>
    <row r="222" spans="1:10" x14ac:dyDescent="0.25">
      <c r="A222" s="30" t="s">
        <v>1209</v>
      </c>
      <c r="B222" s="117" t="s">
        <v>1210</v>
      </c>
      <c r="C222" s="219" t="s">
        <v>1210</v>
      </c>
      <c r="D222" s="79" t="s">
        <v>1211</v>
      </c>
      <c r="E222" s="64" t="s">
        <v>1212</v>
      </c>
      <c r="F222" s="64" t="s">
        <v>1213</v>
      </c>
      <c r="G222" s="64" t="s">
        <v>1214</v>
      </c>
      <c r="H222" s="64" t="s">
        <v>1215</v>
      </c>
      <c r="I222" s="64"/>
      <c r="J222" s="79"/>
    </row>
    <row r="223" spans="1:10" x14ac:dyDescent="0.25">
      <c r="A223" s="30" t="s">
        <v>104</v>
      </c>
      <c r="B223" s="104" t="s">
        <v>5</v>
      </c>
      <c r="C223" s="64" t="s">
        <v>805</v>
      </c>
      <c r="D223" s="64" t="s">
        <v>806</v>
      </c>
      <c r="E223" s="64" t="s">
        <v>807</v>
      </c>
      <c r="F223" s="64" t="s">
        <v>808</v>
      </c>
      <c r="G223" s="64" t="s">
        <v>809</v>
      </c>
      <c r="H223" s="81" t="s">
        <v>546</v>
      </c>
      <c r="I223" s="64"/>
      <c r="J223" s="64"/>
    </row>
    <row r="224" spans="1:10" x14ac:dyDescent="0.25">
      <c r="A224" s="30" t="s">
        <v>105</v>
      </c>
      <c r="B224" s="117" t="s">
        <v>1216</v>
      </c>
      <c r="C224" s="64" t="s">
        <v>1217</v>
      </c>
      <c r="D224" s="64" t="s">
        <v>1218</v>
      </c>
      <c r="E224" s="64" t="s">
        <v>1219</v>
      </c>
      <c r="F224" s="64" t="s">
        <v>1220</v>
      </c>
      <c r="G224" s="64" t="s">
        <v>1221</v>
      </c>
      <c r="H224" s="81" t="s">
        <v>1222</v>
      </c>
      <c r="I224" s="64"/>
      <c r="J224" s="64"/>
    </row>
    <row r="225" spans="1:10" x14ac:dyDescent="0.25">
      <c r="A225" s="30" t="s">
        <v>1223</v>
      </c>
      <c r="B225" s="117" t="s">
        <v>1224</v>
      </c>
      <c r="C225" s="64" t="s">
        <v>1225</v>
      </c>
      <c r="D225" s="64" t="s">
        <v>1225</v>
      </c>
      <c r="E225" s="64" t="s">
        <v>1225</v>
      </c>
      <c r="F225" s="64" t="s">
        <v>1225</v>
      </c>
      <c r="G225" s="64" t="s">
        <v>1225</v>
      </c>
      <c r="H225" s="81" t="s">
        <v>1225</v>
      </c>
      <c r="I225" s="64"/>
      <c r="J225" s="64"/>
    </row>
    <row r="226" spans="1:10" ht="15.75" thickBot="1" x14ac:dyDescent="0.3">
      <c r="A226" s="30" t="s">
        <v>1226</v>
      </c>
      <c r="B226" s="105" t="s">
        <v>1227</v>
      </c>
      <c r="C226" s="68" t="s">
        <v>1228</v>
      </c>
      <c r="D226" s="68" t="s">
        <v>1218</v>
      </c>
      <c r="E226" s="68" t="s">
        <v>1229</v>
      </c>
      <c r="F226" s="68" t="s">
        <v>1229</v>
      </c>
      <c r="G226" s="68" t="s">
        <v>1230</v>
      </c>
      <c r="H226" s="68" t="s">
        <v>1225</v>
      </c>
      <c r="I226" s="68"/>
      <c r="J226" s="68"/>
    </row>
    <row r="229" spans="1:10" ht="15.75" thickBot="1" x14ac:dyDescent="0.3"/>
    <row r="230" spans="1:10" ht="30" customHeight="1" thickBot="1" x14ac:dyDescent="0.3">
      <c r="B230" s="107" t="s">
        <v>120</v>
      </c>
      <c r="C230" s="27" t="s">
        <v>163</v>
      </c>
      <c r="D230" s="27" t="s">
        <v>164</v>
      </c>
      <c r="E230" s="98" t="s">
        <v>165</v>
      </c>
      <c r="F230" s="101" t="s">
        <v>166</v>
      </c>
      <c r="G230" s="27" t="s">
        <v>167</v>
      </c>
      <c r="H230" s="27"/>
      <c r="I230" s="27"/>
      <c r="J230" s="27"/>
    </row>
    <row r="231" spans="1:10" x14ac:dyDescent="0.25">
      <c r="A231"/>
      <c r="B231" s="102" t="s">
        <v>660</v>
      </c>
      <c r="C231" s="106" t="str">
        <f>C3</f>
        <v>German</v>
      </c>
      <c r="D231" s="77" t="str">
        <f>C4</f>
        <v>Svenska</v>
      </c>
      <c r="E231" s="77" t="str">
        <f>C5</f>
        <v>Français</v>
      </c>
      <c r="F231" s="77" t="str">
        <f>C6</f>
        <v>Español</v>
      </c>
      <c r="G231" s="77" t="str">
        <f>C7</f>
        <v>Russian</v>
      </c>
      <c r="H231" s="77" t="str">
        <f>C8</f>
        <v>Chinese （简体中文）</v>
      </c>
      <c r="I231" s="77">
        <f>C9</f>
        <v>0</v>
      </c>
      <c r="J231" s="77">
        <f>C10</f>
        <v>0</v>
      </c>
    </row>
    <row r="232" spans="1:10" ht="75" x14ac:dyDescent="0.25">
      <c r="A232" s="11" t="s">
        <v>1231</v>
      </c>
      <c r="B232" s="108" t="s">
        <v>1232</v>
      </c>
      <c r="C232" s="118" t="s">
        <v>1232</v>
      </c>
      <c r="D232" s="128" t="s">
        <v>1233</v>
      </c>
      <c r="E232" s="128" t="s">
        <v>1234</v>
      </c>
      <c r="F232" s="128" t="s">
        <v>1235</v>
      </c>
      <c r="G232" s="128" t="s">
        <v>1236</v>
      </c>
      <c r="H232" s="128" t="s">
        <v>1237</v>
      </c>
      <c r="I232" s="128"/>
      <c r="J232" s="128"/>
    </row>
    <row r="233" spans="1:10" x14ac:dyDescent="0.25">
      <c r="A233" s="11" t="s">
        <v>1238</v>
      </c>
      <c r="B233" s="104" t="s">
        <v>1239</v>
      </c>
      <c r="C233" s="81" t="s">
        <v>1239</v>
      </c>
      <c r="D233" s="64" t="s">
        <v>1240</v>
      </c>
      <c r="E233" s="64" t="s">
        <v>1241</v>
      </c>
      <c r="F233" s="64" t="s">
        <v>1242</v>
      </c>
      <c r="G233" s="64" t="s">
        <v>1243</v>
      </c>
      <c r="H233" s="64" t="s">
        <v>1244</v>
      </c>
      <c r="I233" s="64"/>
      <c r="J233" s="64"/>
    </row>
    <row r="234" spans="1:10" x14ac:dyDescent="0.25">
      <c r="A234" s="11" t="s">
        <v>1245</v>
      </c>
      <c r="B234" s="104" t="s">
        <v>1246</v>
      </c>
      <c r="C234" s="81" t="s">
        <v>1246</v>
      </c>
      <c r="D234" s="64" t="s">
        <v>1247</v>
      </c>
      <c r="E234" s="64" t="s">
        <v>1248</v>
      </c>
      <c r="F234" s="64" t="s">
        <v>1249</v>
      </c>
      <c r="G234" s="64" t="s">
        <v>1250</v>
      </c>
      <c r="H234" s="64" t="s">
        <v>1251</v>
      </c>
      <c r="I234" s="64"/>
      <c r="J234" s="64"/>
    </row>
    <row r="235" spans="1:10" x14ac:dyDescent="0.25">
      <c r="A235" s="11" t="s">
        <v>1252</v>
      </c>
      <c r="B235" s="104" t="s">
        <v>1253</v>
      </c>
      <c r="C235" s="81" t="s">
        <v>1253</v>
      </c>
      <c r="D235" s="64" t="s">
        <v>1254</v>
      </c>
      <c r="E235" s="64" t="s">
        <v>1255</v>
      </c>
      <c r="F235" s="64" t="s">
        <v>1256</v>
      </c>
      <c r="G235" s="64" t="s">
        <v>1257</v>
      </c>
      <c r="H235" s="64" t="s">
        <v>1258</v>
      </c>
      <c r="I235" s="64"/>
      <c r="J235" s="64"/>
    </row>
    <row r="236" spans="1:10" x14ac:dyDescent="0.25">
      <c r="A236" s="11" t="s">
        <v>1259</v>
      </c>
      <c r="B236" s="104" t="s">
        <v>1260</v>
      </c>
      <c r="C236" s="81" t="s">
        <v>1260</v>
      </c>
      <c r="D236" s="64" t="s">
        <v>1261</v>
      </c>
      <c r="E236" s="64" t="s">
        <v>1262</v>
      </c>
      <c r="F236" s="64" t="s">
        <v>1263</v>
      </c>
      <c r="G236" s="64" t="s">
        <v>1264</v>
      </c>
      <c r="H236" s="64" t="s">
        <v>1265</v>
      </c>
      <c r="I236" s="64"/>
      <c r="J236" s="64"/>
    </row>
    <row r="237" spans="1:10" x14ac:dyDescent="0.25">
      <c r="A237" s="11" t="s">
        <v>1266</v>
      </c>
      <c r="B237" s="104" t="s">
        <v>1267</v>
      </c>
      <c r="C237" s="81" t="s">
        <v>1267</v>
      </c>
      <c r="D237" s="64" t="s">
        <v>1268</v>
      </c>
      <c r="E237" s="64" t="s">
        <v>1269</v>
      </c>
      <c r="F237" s="64" t="s">
        <v>1270</v>
      </c>
      <c r="G237" s="64" t="s">
        <v>1271</v>
      </c>
      <c r="H237" s="64" t="s">
        <v>1272</v>
      </c>
      <c r="I237" s="64"/>
      <c r="J237" s="64"/>
    </row>
    <row r="238" spans="1:10" x14ac:dyDescent="0.25">
      <c r="A238" s="11" t="s">
        <v>1273</v>
      </c>
      <c r="B238" s="104" t="s">
        <v>1274</v>
      </c>
      <c r="C238" s="81" t="s">
        <v>1274</v>
      </c>
      <c r="D238" s="64" t="s">
        <v>1275</v>
      </c>
      <c r="E238" s="64" t="s">
        <v>1276</v>
      </c>
      <c r="F238" s="64" t="s">
        <v>1277</v>
      </c>
      <c r="G238" s="64" t="s">
        <v>316</v>
      </c>
      <c r="H238" s="64" t="s">
        <v>1278</v>
      </c>
      <c r="I238" s="64"/>
      <c r="J238" s="64"/>
    </row>
    <row r="239" spans="1:10" x14ac:dyDescent="0.25">
      <c r="A239" s="11" t="s">
        <v>1279</v>
      </c>
      <c r="B239" s="104" t="s">
        <v>1274</v>
      </c>
      <c r="C239" s="81" t="s">
        <v>1274</v>
      </c>
      <c r="D239" s="64" t="s">
        <v>1275</v>
      </c>
      <c r="E239" s="64" t="s">
        <v>1276</v>
      </c>
      <c r="F239" s="64" t="s">
        <v>1277</v>
      </c>
      <c r="G239" s="64" t="s">
        <v>316</v>
      </c>
      <c r="H239" s="64" t="s">
        <v>1278</v>
      </c>
      <c r="I239" s="64"/>
      <c r="J239" s="64"/>
    </row>
    <row r="240" spans="1:10" x14ac:dyDescent="0.25">
      <c r="A240" s="11" t="s">
        <v>1280</v>
      </c>
      <c r="B240" s="104" t="s">
        <v>1281</v>
      </c>
      <c r="C240" s="81" t="s">
        <v>1281</v>
      </c>
      <c r="D240" s="64" t="s">
        <v>1282</v>
      </c>
      <c r="E240" s="64" t="s">
        <v>1283</v>
      </c>
      <c r="F240" s="64" t="s">
        <v>1284</v>
      </c>
      <c r="G240" s="64" t="s">
        <v>1285</v>
      </c>
      <c r="H240" s="64" t="s">
        <v>1286</v>
      </c>
      <c r="I240" s="64"/>
      <c r="J240" s="64"/>
    </row>
    <row r="241" spans="1:10" x14ac:dyDescent="0.25">
      <c r="A241" s="11" t="s">
        <v>1287</v>
      </c>
      <c r="B241" s="104" t="s">
        <v>1288</v>
      </c>
      <c r="C241" s="81" t="s">
        <v>1288</v>
      </c>
      <c r="D241" s="64" t="s">
        <v>1289</v>
      </c>
      <c r="E241" s="64" t="s">
        <v>1290</v>
      </c>
      <c r="F241" s="64" t="s">
        <v>1291</v>
      </c>
      <c r="G241" s="64" t="s">
        <v>1292</v>
      </c>
      <c r="H241" s="64" t="s">
        <v>1293</v>
      </c>
      <c r="I241" s="64"/>
      <c r="J241" s="64"/>
    </row>
    <row r="242" spans="1:10" x14ac:dyDescent="0.25">
      <c r="A242" s="11" t="s">
        <v>1294</v>
      </c>
      <c r="B242" s="104" t="s">
        <v>1295</v>
      </c>
      <c r="C242" s="81" t="s">
        <v>1295</v>
      </c>
      <c r="D242" s="64" t="s">
        <v>1296</v>
      </c>
      <c r="E242" s="64" t="s">
        <v>1297</v>
      </c>
      <c r="F242" s="64" t="s">
        <v>1298</v>
      </c>
      <c r="G242" s="64" t="s">
        <v>1299</v>
      </c>
      <c r="H242" s="64" t="s">
        <v>1300</v>
      </c>
      <c r="I242" s="64"/>
      <c r="J242" s="64"/>
    </row>
    <row r="243" spans="1:10" x14ac:dyDescent="0.25">
      <c r="A243" s="11" t="s">
        <v>1301</v>
      </c>
      <c r="B243" s="104" t="s">
        <v>1302</v>
      </c>
      <c r="C243" s="81" t="s">
        <v>1302</v>
      </c>
      <c r="D243" s="64" t="s">
        <v>1303</v>
      </c>
      <c r="E243" s="64" t="s">
        <v>1304</v>
      </c>
      <c r="F243" s="64" t="s">
        <v>1305</v>
      </c>
      <c r="G243" s="64" t="s">
        <v>1306</v>
      </c>
      <c r="H243" s="64" t="s">
        <v>1307</v>
      </c>
      <c r="I243" s="64"/>
      <c r="J243" s="64"/>
    </row>
    <row r="244" spans="1:10" x14ac:dyDescent="0.25">
      <c r="A244" s="11" t="s">
        <v>1308</v>
      </c>
      <c r="B244" s="104" t="s">
        <v>1309</v>
      </c>
      <c r="C244" s="81" t="s">
        <v>1309</v>
      </c>
      <c r="D244" s="64" t="s">
        <v>501</v>
      </c>
      <c r="E244" s="64" t="s">
        <v>1310</v>
      </c>
      <c r="F244" s="64" t="s">
        <v>1311</v>
      </c>
      <c r="G244" s="64" t="s">
        <v>1312</v>
      </c>
      <c r="H244" s="64" t="s">
        <v>1313</v>
      </c>
      <c r="I244" s="64"/>
      <c r="J244" s="64"/>
    </row>
    <row r="245" spans="1:10" x14ac:dyDescent="0.25">
      <c r="A245" s="11" t="s">
        <v>1314</v>
      </c>
      <c r="B245" s="104" t="s">
        <v>1315</v>
      </c>
      <c r="C245" s="81" t="s">
        <v>1315</v>
      </c>
      <c r="D245" s="64" t="s">
        <v>1193</v>
      </c>
      <c r="E245" s="64" t="s">
        <v>1316</v>
      </c>
      <c r="F245" s="64" t="s">
        <v>1195</v>
      </c>
      <c r="G245" s="64" t="s">
        <v>1162</v>
      </c>
      <c r="H245" s="64" t="s">
        <v>1317</v>
      </c>
      <c r="I245" s="64"/>
      <c r="J245" s="64"/>
    </row>
    <row r="246" spans="1:10" ht="15" customHeight="1" x14ac:dyDescent="0.25">
      <c r="A246" s="11" t="s">
        <v>1318</v>
      </c>
      <c r="B246" s="108" t="s">
        <v>1319</v>
      </c>
      <c r="C246" s="81" t="s">
        <v>1319</v>
      </c>
      <c r="D246" s="64" t="s">
        <v>1320</v>
      </c>
      <c r="E246" s="64" t="s">
        <v>1321</v>
      </c>
      <c r="F246" s="64" t="s">
        <v>1322</v>
      </c>
      <c r="G246" s="64" t="s">
        <v>1323</v>
      </c>
      <c r="H246" s="64" t="s">
        <v>1324</v>
      </c>
      <c r="I246" s="64"/>
      <c r="J246" s="64"/>
    </row>
    <row r="247" spans="1:10" x14ac:dyDescent="0.25">
      <c r="A247" s="11" t="s">
        <v>1325</v>
      </c>
      <c r="B247" s="104" t="s">
        <v>1326</v>
      </c>
      <c r="C247" s="81" t="s">
        <v>1326</v>
      </c>
      <c r="D247" s="64" t="s">
        <v>1327</v>
      </c>
      <c r="E247" s="64" t="s">
        <v>1328</v>
      </c>
      <c r="F247" s="64" t="s">
        <v>1329</v>
      </c>
      <c r="G247" s="64" t="s">
        <v>1330</v>
      </c>
      <c r="H247" s="64" t="s">
        <v>1331</v>
      </c>
      <c r="I247" s="64"/>
      <c r="J247" s="64"/>
    </row>
    <row r="248" spans="1:10" x14ac:dyDescent="0.25">
      <c r="A248" s="11" t="s">
        <v>1332</v>
      </c>
      <c r="B248" s="104" t="s">
        <v>1333</v>
      </c>
      <c r="C248" s="81" t="s">
        <v>1333</v>
      </c>
      <c r="D248" s="64" t="s">
        <v>1334</v>
      </c>
      <c r="E248" s="64" t="s">
        <v>1335</v>
      </c>
      <c r="F248" s="64" t="s">
        <v>1336</v>
      </c>
      <c r="G248" s="64" t="s">
        <v>1337</v>
      </c>
      <c r="H248" s="64" t="s">
        <v>1338</v>
      </c>
      <c r="I248" s="64"/>
      <c r="J248" s="64"/>
    </row>
    <row r="249" spans="1:10" x14ac:dyDescent="0.25">
      <c r="A249" s="11" t="s">
        <v>1339</v>
      </c>
      <c r="B249" s="104" t="s">
        <v>1340</v>
      </c>
      <c r="C249" s="81" t="s">
        <v>1340</v>
      </c>
      <c r="D249" s="64" t="s">
        <v>1341</v>
      </c>
      <c r="E249" s="64" t="s">
        <v>1342</v>
      </c>
      <c r="F249" s="64" t="s">
        <v>1343</v>
      </c>
      <c r="G249" s="64" t="s">
        <v>1344</v>
      </c>
      <c r="H249" s="64" t="s">
        <v>1345</v>
      </c>
      <c r="I249" s="64"/>
      <c r="J249" s="64"/>
    </row>
    <row r="250" spans="1:10" x14ac:dyDescent="0.25">
      <c r="A250" s="11" t="s">
        <v>1346</v>
      </c>
      <c r="B250" s="104" t="s">
        <v>1347</v>
      </c>
      <c r="C250" s="81" t="s">
        <v>1347</v>
      </c>
      <c r="D250" s="64" t="s">
        <v>1348</v>
      </c>
      <c r="E250" s="64" t="s">
        <v>1349</v>
      </c>
      <c r="F250" s="64" t="s">
        <v>1350</v>
      </c>
      <c r="G250" s="64" t="s">
        <v>1351</v>
      </c>
      <c r="H250" s="64" t="s">
        <v>1352</v>
      </c>
      <c r="I250" s="64"/>
      <c r="J250" s="64"/>
    </row>
    <row r="251" spans="1:10" x14ac:dyDescent="0.25">
      <c r="A251" s="11" t="s">
        <v>1353</v>
      </c>
      <c r="B251" s="104" t="s">
        <v>1354</v>
      </c>
      <c r="C251" s="81" t="s">
        <v>1354</v>
      </c>
      <c r="D251" s="64" t="s">
        <v>1355</v>
      </c>
      <c r="E251" s="64" t="s">
        <v>1356</v>
      </c>
      <c r="F251" s="64" t="s">
        <v>1357</v>
      </c>
      <c r="G251" s="64" t="s">
        <v>1358</v>
      </c>
      <c r="H251" s="64" t="s">
        <v>1359</v>
      </c>
      <c r="I251" s="64"/>
      <c r="J251" s="64"/>
    </row>
    <row r="252" spans="1:10" x14ac:dyDescent="0.25">
      <c r="A252" s="11" t="s">
        <v>1360</v>
      </c>
      <c r="B252" s="104" t="s">
        <v>1361</v>
      </c>
      <c r="C252" s="81" t="s">
        <v>1361</v>
      </c>
      <c r="D252" s="64" t="s">
        <v>1362</v>
      </c>
      <c r="E252" s="64" t="s">
        <v>1363</v>
      </c>
      <c r="F252" s="64" t="s">
        <v>1364</v>
      </c>
      <c r="G252" s="64" t="s">
        <v>1365</v>
      </c>
      <c r="H252" s="64" t="s">
        <v>1366</v>
      </c>
      <c r="I252" s="64"/>
      <c r="J252" s="64"/>
    </row>
    <row r="253" spans="1:10" x14ac:dyDescent="0.25">
      <c r="A253" s="11" t="s">
        <v>1367</v>
      </c>
      <c r="B253" s="104" t="s">
        <v>1368</v>
      </c>
      <c r="C253" s="81" t="s">
        <v>1368</v>
      </c>
      <c r="D253" s="64" t="s">
        <v>1369</v>
      </c>
      <c r="E253" s="64" t="s">
        <v>1370</v>
      </c>
      <c r="F253" s="64" t="s">
        <v>1371</v>
      </c>
      <c r="G253" s="64" t="s">
        <v>1372</v>
      </c>
      <c r="H253" s="64" t="s">
        <v>1373</v>
      </c>
      <c r="I253" s="64"/>
      <c r="J253" s="64"/>
    </row>
    <row r="254" spans="1:10" x14ac:dyDescent="0.25">
      <c r="A254" s="11" t="s">
        <v>1374</v>
      </c>
      <c r="B254" s="104" t="s">
        <v>1333</v>
      </c>
      <c r="C254" s="81" t="s">
        <v>1333</v>
      </c>
      <c r="D254" s="64" t="s">
        <v>1375</v>
      </c>
      <c r="E254" s="64" t="s">
        <v>1335</v>
      </c>
      <c r="F254" s="64" t="s">
        <v>1376</v>
      </c>
      <c r="G254" s="64" t="s">
        <v>1377</v>
      </c>
      <c r="H254" s="64" t="s">
        <v>1338</v>
      </c>
      <c r="I254" s="64"/>
      <c r="J254" s="64"/>
    </row>
    <row r="255" spans="1:10" x14ac:dyDescent="0.25">
      <c r="A255" s="11" t="s">
        <v>1378</v>
      </c>
      <c r="B255" s="104" t="s">
        <v>1379</v>
      </c>
      <c r="C255" s="81" t="s">
        <v>1379</v>
      </c>
      <c r="D255" s="64" t="s">
        <v>1380</v>
      </c>
      <c r="E255" s="64" t="s">
        <v>1381</v>
      </c>
      <c r="F255" s="64" t="s">
        <v>1382</v>
      </c>
      <c r="G255" s="64" t="s">
        <v>1383</v>
      </c>
      <c r="H255" s="64" t="s">
        <v>1384</v>
      </c>
      <c r="I255" s="64"/>
      <c r="J255" s="64"/>
    </row>
    <row r="256" spans="1:10" x14ac:dyDescent="0.25">
      <c r="A256" s="11" t="s">
        <v>1385</v>
      </c>
      <c r="B256" s="104" t="s">
        <v>1386</v>
      </c>
      <c r="C256" s="81" t="s">
        <v>1386</v>
      </c>
      <c r="D256" s="64" t="s">
        <v>1387</v>
      </c>
      <c r="E256" s="64" t="s">
        <v>1388</v>
      </c>
      <c r="F256" s="64" t="s">
        <v>1389</v>
      </c>
      <c r="G256" s="64" t="s">
        <v>1390</v>
      </c>
      <c r="H256" s="64" t="s">
        <v>1391</v>
      </c>
      <c r="I256" s="64"/>
      <c r="J256" s="64"/>
    </row>
    <row r="257" spans="1:10" x14ac:dyDescent="0.25">
      <c r="A257" s="11" t="s">
        <v>1392</v>
      </c>
      <c r="B257" s="104" t="s">
        <v>1393</v>
      </c>
      <c r="C257" s="81" t="s">
        <v>1393</v>
      </c>
      <c r="D257" s="64" t="s">
        <v>1394</v>
      </c>
      <c r="E257" s="64" t="s">
        <v>1395</v>
      </c>
      <c r="F257" s="64" t="s">
        <v>1396</v>
      </c>
      <c r="G257" s="64" t="s">
        <v>1397</v>
      </c>
      <c r="H257" s="64" t="s">
        <v>1398</v>
      </c>
      <c r="I257" s="64"/>
      <c r="J257" s="64"/>
    </row>
    <row r="258" spans="1:10" x14ac:dyDescent="0.25">
      <c r="A258" s="11" t="s">
        <v>1399</v>
      </c>
      <c r="B258" s="104" t="s">
        <v>1400</v>
      </c>
      <c r="C258" s="81" t="s">
        <v>1400</v>
      </c>
      <c r="D258" s="64" t="s">
        <v>1401</v>
      </c>
      <c r="E258" s="64" t="s">
        <v>1402</v>
      </c>
      <c r="F258" s="64" t="s">
        <v>1403</v>
      </c>
      <c r="G258" s="64" t="s">
        <v>1404</v>
      </c>
      <c r="H258" s="64" t="s">
        <v>1405</v>
      </c>
      <c r="I258" s="64"/>
      <c r="J258" s="64"/>
    </row>
    <row r="259" spans="1:10" x14ac:dyDescent="0.25">
      <c r="A259" s="11" t="s">
        <v>1406</v>
      </c>
      <c r="B259" s="104" t="s">
        <v>1407</v>
      </c>
      <c r="C259" s="81" t="s">
        <v>1407</v>
      </c>
      <c r="D259" s="79" t="s">
        <v>1408</v>
      </c>
      <c r="E259" s="79" t="s">
        <v>1409</v>
      </c>
      <c r="F259" s="79" t="s">
        <v>1410</v>
      </c>
      <c r="G259" s="79" t="s">
        <v>1411</v>
      </c>
      <c r="H259" s="64" t="s">
        <v>1412</v>
      </c>
      <c r="I259" s="64"/>
      <c r="J259" s="64"/>
    </row>
    <row r="260" spans="1:10" x14ac:dyDescent="0.25">
      <c r="A260" s="11" t="s">
        <v>1413</v>
      </c>
      <c r="B260" s="104" t="s">
        <v>1414</v>
      </c>
      <c r="C260" s="81" t="s">
        <v>1414</v>
      </c>
      <c r="D260" s="79" t="s">
        <v>1415</v>
      </c>
      <c r="E260" s="79" t="s">
        <v>1416</v>
      </c>
      <c r="F260" s="79" t="s">
        <v>1417</v>
      </c>
      <c r="G260" s="79" t="s">
        <v>1418</v>
      </c>
      <c r="H260" s="64" t="s">
        <v>1419</v>
      </c>
      <c r="I260" s="64"/>
      <c r="J260" s="64"/>
    </row>
    <row r="261" spans="1:10" x14ac:dyDescent="0.25">
      <c r="A261" s="11" t="s">
        <v>1420</v>
      </c>
      <c r="B261" s="104" t="s">
        <v>1421</v>
      </c>
      <c r="C261" s="81" t="s">
        <v>1421</v>
      </c>
      <c r="D261" s="79" t="s">
        <v>1422</v>
      </c>
      <c r="E261" s="79" t="s">
        <v>1423</v>
      </c>
      <c r="F261" s="79" t="s">
        <v>1424</v>
      </c>
      <c r="G261" s="79" t="s">
        <v>1425</v>
      </c>
      <c r="H261" s="64" t="s">
        <v>1426</v>
      </c>
      <c r="I261" s="64"/>
      <c r="J261" s="64"/>
    </row>
    <row r="262" spans="1:10" x14ac:dyDescent="0.25">
      <c r="A262" s="11" t="s">
        <v>1427</v>
      </c>
      <c r="B262" s="104" t="s">
        <v>1428</v>
      </c>
      <c r="C262" s="81" t="s">
        <v>1428</v>
      </c>
      <c r="D262" s="79" t="s">
        <v>1429</v>
      </c>
      <c r="E262" s="79" t="s">
        <v>1430</v>
      </c>
      <c r="F262" s="79" t="s">
        <v>1431</v>
      </c>
      <c r="G262" s="79" t="s">
        <v>1432</v>
      </c>
      <c r="H262" s="64" t="s">
        <v>1433</v>
      </c>
      <c r="I262" s="64"/>
      <c r="J262" s="64"/>
    </row>
    <row r="263" spans="1:10" x14ac:dyDescent="0.25">
      <c r="A263" s="11" t="s">
        <v>1434</v>
      </c>
      <c r="B263" s="104" t="s">
        <v>1435</v>
      </c>
      <c r="C263" s="81" t="s">
        <v>1435</v>
      </c>
      <c r="D263" s="79" t="s">
        <v>1436</v>
      </c>
      <c r="E263" s="79" t="s">
        <v>1437</v>
      </c>
      <c r="F263" s="79" t="s">
        <v>1438</v>
      </c>
      <c r="G263" s="79" t="s">
        <v>1439</v>
      </c>
      <c r="H263" s="64" t="s">
        <v>1440</v>
      </c>
      <c r="I263" s="64"/>
      <c r="J263" s="64"/>
    </row>
    <row r="264" spans="1:10" x14ac:dyDescent="0.25">
      <c r="A264" s="11" t="s">
        <v>1441</v>
      </c>
      <c r="B264" s="104" t="s">
        <v>1442</v>
      </c>
      <c r="C264" s="81" t="s">
        <v>1442</v>
      </c>
      <c r="D264" s="79" t="s">
        <v>1443</v>
      </c>
      <c r="E264" s="79" t="s">
        <v>1444</v>
      </c>
      <c r="F264" s="79" t="s">
        <v>1445</v>
      </c>
      <c r="G264" s="79" t="s">
        <v>1446</v>
      </c>
      <c r="H264" s="64" t="s">
        <v>1447</v>
      </c>
      <c r="I264" s="64"/>
      <c r="J264" s="64"/>
    </row>
    <row r="265" spans="1:10" x14ac:dyDescent="0.25">
      <c r="A265" s="11" t="s">
        <v>1448</v>
      </c>
      <c r="B265" s="104" t="s">
        <v>1449</v>
      </c>
      <c r="C265" s="81" t="s">
        <v>1449</v>
      </c>
      <c r="D265" s="79" t="s">
        <v>1450</v>
      </c>
      <c r="E265" s="79" t="s">
        <v>1451</v>
      </c>
      <c r="F265" s="79" t="s">
        <v>1452</v>
      </c>
      <c r="G265" s="79" t="s">
        <v>1453</v>
      </c>
      <c r="H265" s="64" t="s">
        <v>1454</v>
      </c>
      <c r="I265" s="64"/>
      <c r="J265" s="64"/>
    </row>
    <row r="266" spans="1:10" x14ac:dyDescent="0.25">
      <c r="A266" s="11" t="s">
        <v>1455</v>
      </c>
      <c r="B266" s="104" t="s">
        <v>1456</v>
      </c>
      <c r="C266" s="81" t="s">
        <v>1456</v>
      </c>
      <c r="D266" s="79" t="s">
        <v>1457</v>
      </c>
      <c r="E266" s="79" t="s">
        <v>1458</v>
      </c>
      <c r="F266" s="79" t="s">
        <v>1459</v>
      </c>
      <c r="G266" s="79" t="s">
        <v>1460</v>
      </c>
      <c r="H266" s="64" t="s">
        <v>1461</v>
      </c>
      <c r="I266" s="64"/>
      <c r="J266" s="64"/>
    </row>
    <row r="267" spans="1:10" x14ac:dyDescent="0.25">
      <c r="A267" s="11" t="s">
        <v>1462</v>
      </c>
      <c r="B267" s="104" t="s">
        <v>1463</v>
      </c>
      <c r="C267" s="81" t="s">
        <v>1463</v>
      </c>
      <c r="D267" s="79" t="s">
        <v>1464</v>
      </c>
      <c r="E267" s="79" t="s">
        <v>1465</v>
      </c>
      <c r="F267" s="79" t="s">
        <v>1466</v>
      </c>
      <c r="G267" s="79" t="s">
        <v>1467</v>
      </c>
      <c r="H267" s="64" t="s">
        <v>1468</v>
      </c>
      <c r="I267" s="64"/>
      <c r="J267" s="64"/>
    </row>
    <row r="268" spans="1:10" x14ac:dyDescent="0.25">
      <c r="A268" s="11" t="s">
        <v>1469</v>
      </c>
      <c r="B268" s="104" t="s">
        <v>1470</v>
      </c>
      <c r="C268" s="81" t="s">
        <v>1470</v>
      </c>
      <c r="D268" s="79" t="s">
        <v>1471</v>
      </c>
      <c r="E268" s="79" t="s">
        <v>1472</v>
      </c>
      <c r="F268" s="79" t="s">
        <v>1473</v>
      </c>
      <c r="G268" s="79" t="s">
        <v>1474</v>
      </c>
      <c r="H268" s="64" t="s">
        <v>1475</v>
      </c>
      <c r="I268" s="64"/>
      <c r="J268" s="64"/>
    </row>
    <row r="269" spans="1:10" x14ac:dyDescent="0.25">
      <c r="A269" s="11" t="s">
        <v>1476</v>
      </c>
      <c r="B269" s="104" t="s">
        <v>140</v>
      </c>
      <c r="C269" s="81" t="s">
        <v>140</v>
      </c>
      <c r="D269" s="79" t="s">
        <v>142</v>
      </c>
      <c r="E269" s="79" t="s">
        <v>143</v>
      </c>
      <c r="F269" s="79" t="s">
        <v>1477</v>
      </c>
      <c r="G269" s="79" t="s">
        <v>145</v>
      </c>
      <c r="H269" s="64" t="s">
        <v>926</v>
      </c>
      <c r="I269" s="64"/>
      <c r="J269" s="64"/>
    </row>
    <row r="270" spans="1:10" ht="15.75" thickBot="1" x14ac:dyDescent="0.3">
      <c r="A270" s="11" t="s">
        <v>1478</v>
      </c>
      <c r="B270" s="105" t="s">
        <v>1479</v>
      </c>
      <c r="C270" s="17" t="s">
        <v>1479</v>
      </c>
      <c r="D270" s="68" t="s">
        <v>1480</v>
      </c>
      <c r="E270" s="68" t="s">
        <v>1481</v>
      </c>
      <c r="F270" s="68" t="s">
        <v>1482</v>
      </c>
      <c r="G270" s="68" t="s">
        <v>1483</v>
      </c>
      <c r="H270" s="68" t="s">
        <v>1484</v>
      </c>
      <c r="I270" s="68"/>
      <c r="J270" s="68"/>
    </row>
    <row r="274" spans="1:1" ht="30" customHeight="1" x14ac:dyDescent="0.25">
      <c r="A274"/>
    </row>
    <row r="275" spans="1:1" x14ac:dyDescent="0.25">
      <c r="A275"/>
    </row>
    <row r="276" spans="1:1" x14ac:dyDescent="0.25">
      <c r="A276"/>
    </row>
    <row r="277" spans="1:1" x14ac:dyDescent="0.25">
      <c r="A277"/>
    </row>
    <row r="278" spans="1:1" x14ac:dyDescent="0.25">
      <c r="A278"/>
    </row>
    <row r="279" spans="1:1" x14ac:dyDescent="0.25">
      <c r="A279"/>
    </row>
    <row r="280" spans="1:1" x14ac:dyDescent="0.25">
      <c r="A280"/>
    </row>
    <row r="281" spans="1:1" x14ac:dyDescent="0.25">
      <c r="A281"/>
    </row>
    <row r="282" spans="1:1" x14ac:dyDescent="0.25">
      <c r="A282"/>
    </row>
    <row r="283" spans="1:1" x14ac:dyDescent="0.25">
      <c r="A283"/>
    </row>
    <row r="284" spans="1:1" x14ac:dyDescent="0.25">
      <c r="A284"/>
    </row>
    <row r="285" spans="1:1" x14ac:dyDescent="0.25">
      <c r="A285"/>
    </row>
    <row r="286" spans="1:1" x14ac:dyDescent="0.25">
      <c r="A286"/>
    </row>
    <row r="287" spans="1:1" x14ac:dyDescent="0.25">
      <c r="A287"/>
    </row>
    <row r="288" spans="1:1" x14ac:dyDescent="0.25">
      <c r="A288"/>
    </row>
    <row r="289" spans="1:2" x14ac:dyDescent="0.25">
      <c r="A289"/>
    </row>
    <row r="290" spans="1:2" x14ac:dyDescent="0.25">
      <c r="A290"/>
    </row>
    <row r="291" spans="1:2" x14ac:dyDescent="0.25">
      <c r="A291"/>
    </row>
    <row r="292" spans="1:2" x14ac:dyDescent="0.25">
      <c r="A292"/>
    </row>
    <row r="293" spans="1:2" ht="15" customHeight="1" x14ac:dyDescent="0.25">
      <c r="A293"/>
    </row>
    <row r="294" spans="1:2" x14ac:dyDescent="0.25">
      <c r="A294"/>
    </row>
    <row r="295" spans="1:2" x14ac:dyDescent="0.25">
      <c r="A295"/>
    </row>
    <row r="296" spans="1:2" x14ac:dyDescent="0.25">
      <c r="A296"/>
    </row>
    <row r="298" spans="1:2" x14ac:dyDescent="0.25">
      <c r="B298" s="30"/>
    </row>
    <row r="300" spans="1:2" x14ac:dyDescent="0.25">
      <c r="A300"/>
    </row>
    <row r="301" spans="1:2" x14ac:dyDescent="0.25">
      <c r="A301"/>
    </row>
    <row r="302" spans="1:2" x14ac:dyDescent="0.25">
      <c r="A302"/>
    </row>
    <row r="303" spans="1:2" x14ac:dyDescent="0.25">
      <c r="A303"/>
    </row>
    <row r="304" spans="1:2" x14ac:dyDescent="0.25">
      <c r="A304"/>
    </row>
    <row r="305" spans="1:1" x14ac:dyDescent="0.25">
      <c r="A305"/>
    </row>
    <row r="306" spans="1:1" x14ac:dyDescent="0.25">
      <c r="A306"/>
    </row>
    <row r="307" spans="1:1" x14ac:dyDescent="0.25">
      <c r="A307"/>
    </row>
    <row r="308" spans="1:1" x14ac:dyDescent="0.25">
      <c r="A308"/>
    </row>
    <row r="309" spans="1:1" x14ac:dyDescent="0.25">
      <c r="A309"/>
    </row>
    <row r="310" spans="1:1" x14ac:dyDescent="0.25">
      <c r="A310"/>
    </row>
    <row r="311" spans="1:1" x14ac:dyDescent="0.25">
      <c r="A311"/>
    </row>
    <row r="312" spans="1:1" x14ac:dyDescent="0.25">
      <c r="A312"/>
    </row>
    <row r="313" spans="1:1" x14ac:dyDescent="0.25">
      <c r="A313"/>
    </row>
    <row r="314" spans="1:1" x14ac:dyDescent="0.25">
      <c r="A314"/>
    </row>
    <row r="315" spans="1:1" x14ac:dyDescent="0.25">
      <c r="A315"/>
    </row>
    <row r="316" spans="1:1" x14ac:dyDescent="0.25">
      <c r="A316"/>
    </row>
    <row r="317" spans="1:1" x14ac:dyDescent="0.25">
      <c r="A317"/>
    </row>
  </sheetData>
  <mergeCells count="2">
    <mergeCell ref="B12:H12"/>
    <mergeCell ref="I12:J12"/>
  </mergeCells>
  <phoneticPr fontId="16" type="noConversion"/>
  <pageMargins left="0.7" right="0.7" top="0.75" bottom="0.75" header="0.3" footer="0.3"/>
  <pageSetup orientation="portrait" r:id="rId1"/>
  <headerFooter>
    <oddFooter>&amp;LUnrestricted</oddFooter>
  </headerFooter>
  <customProperties>
    <customPr name="EpmWorksheetKeyString_GUID" r:id="rId2"/>
  </customProperties>
  <ignoredErrors>
    <ignoredError sqref="A24"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46AAC1"/>
    <pageSetUpPr fitToPage="1"/>
  </sheetPr>
  <dimension ref="B2:Z77"/>
  <sheetViews>
    <sheetView showGridLines="0" zoomScale="85" zoomScaleNormal="85" zoomScaleSheetLayoutView="80" workbookViewId="0">
      <selection activeCell="AA25" sqref="AA25"/>
    </sheetView>
  </sheetViews>
  <sheetFormatPr baseColWidth="10" defaultColWidth="9.140625" defaultRowHeight="15" x14ac:dyDescent="0.25"/>
  <cols>
    <col min="2" max="2" width="2.7109375" customWidth="1"/>
    <col min="3" max="3" width="7.140625" customWidth="1"/>
    <col min="6" max="6" width="7.140625" customWidth="1"/>
    <col min="7" max="7" width="2.7109375" customWidth="1"/>
    <col min="8" max="8" width="1.7109375" customWidth="1"/>
    <col min="9" max="9" width="10.7109375" customWidth="1"/>
    <col min="12" max="12" width="17.7109375" customWidth="1"/>
    <col min="13" max="13" width="4.7109375" customWidth="1"/>
    <col min="14" max="14" width="12.7109375" customWidth="1"/>
    <col min="15" max="15" width="15.7109375" customWidth="1"/>
    <col min="16" max="16" width="9.85546875" bestFit="1" customWidth="1"/>
    <col min="17" max="17" width="4.7109375" customWidth="1"/>
    <col min="18" max="18" width="5.140625" customWidth="1"/>
    <col min="19" max="19" width="2.7109375" customWidth="1"/>
    <col min="20" max="20" width="11" bestFit="1" customWidth="1"/>
    <col min="21" max="21" width="5.140625" customWidth="1"/>
    <col min="22" max="22" width="4.7109375" customWidth="1"/>
    <col min="23" max="23" width="6.7109375" customWidth="1"/>
    <col min="24" max="24" width="2.7109375" customWidth="1"/>
  </cols>
  <sheetData>
    <row r="2" spans="2:25" ht="15.75" thickBot="1" x14ac:dyDescent="0.3">
      <c r="X2" s="51"/>
    </row>
    <row r="3" spans="2:25" ht="15" customHeight="1" x14ac:dyDescent="0.25">
      <c r="B3" s="294"/>
      <c r="C3" s="295"/>
      <c r="D3" s="295"/>
      <c r="E3" s="295"/>
      <c r="F3" s="295"/>
      <c r="G3" s="296"/>
      <c r="H3" s="621" t="str">
        <f>VLOOKUP("a",Languages!A:J,VLOOKUP(Summary!X6,Languages!$C$2:$D$10,2,FALSE),FALSE)</f>
        <v>BOSCH Material and Process Evaluation (MPE)</v>
      </c>
      <c r="I3" s="622"/>
      <c r="J3" s="622"/>
      <c r="K3" s="622"/>
      <c r="L3" s="622"/>
      <c r="M3" s="622"/>
      <c r="N3" s="622"/>
      <c r="O3" s="622"/>
      <c r="P3" s="622"/>
      <c r="Q3" s="622"/>
      <c r="R3" s="622"/>
      <c r="S3" s="627"/>
      <c r="T3" s="621" t="str">
        <f>VLOOKUP("e",Languages!A:J,VLOOKUP(Summary!X6,Languages!$C$2:$D$10,2,FALSE),FALSE)</f>
        <v>Machine-hour rate</v>
      </c>
      <c r="U3" s="622"/>
      <c r="V3" s="622"/>
      <c r="W3" s="622"/>
      <c r="X3" s="627"/>
    </row>
    <row r="4" spans="2:25" ht="15" customHeight="1" thickBot="1" x14ac:dyDescent="0.3">
      <c r="B4" s="297"/>
      <c r="C4" s="1"/>
      <c r="D4" s="1"/>
      <c r="E4" s="1"/>
      <c r="F4" s="1"/>
      <c r="G4" s="298"/>
      <c r="H4" s="623"/>
      <c r="I4" s="624"/>
      <c r="J4" s="624"/>
      <c r="K4" s="624"/>
      <c r="L4" s="624"/>
      <c r="M4" s="624"/>
      <c r="N4" s="624"/>
      <c r="O4" s="624"/>
      <c r="P4" s="624"/>
      <c r="Q4" s="624"/>
      <c r="R4" s="624"/>
      <c r="S4" s="693"/>
      <c r="T4" s="623"/>
      <c r="U4" s="624"/>
      <c r="V4" s="624"/>
      <c r="W4" s="624"/>
      <c r="X4" s="693"/>
    </row>
    <row r="5" spans="2:25" ht="9.9499999999999993" customHeight="1" thickBot="1" x14ac:dyDescent="0.3">
      <c r="B5" s="297"/>
      <c r="C5" s="1"/>
      <c r="D5" s="1"/>
      <c r="E5" s="1"/>
      <c r="F5" s="1"/>
      <c r="G5" s="298"/>
      <c r="H5" s="623"/>
      <c r="I5" s="624"/>
      <c r="J5" s="624"/>
      <c r="K5" s="624"/>
      <c r="L5" s="624"/>
      <c r="M5" s="624"/>
      <c r="N5" s="624"/>
      <c r="O5" s="624"/>
      <c r="P5" s="624"/>
      <c r="Q5" s="624"/>
      <c r="R5" s="624"/>
      <c r="S5" s="693"/>
      <c r="T5" s="190"/>
      <c r="U5" s="189" t="str">
        <f>Summary!W5</f>
        <v>Version</v>
      </c>
      <c r="V5" s="206" t="str">
        <f>Summary!X5</f>
        <v>4.1</v>
      </c>
      <c r="W5" s="143"/>
      <c r="X5" s="203"/>
      <c r="Y5" s="53"/>
    </row>
    <row r="6" spans="2:25" ht="9.9499999999999993" customHeight="1" thickBot="1" x14ac:dyDescent="0.3">
      <c r="B6" s="297"/>
      <c r="C6" s="1"/>
      <c r="D6" s="1"/>
      <c r="E6" s="1"/>
      <c r="F6" s="1"/>
      <c r="G6" s="298"/>
      <c r="H6" s="623"/>
      <c r="I6" s="624"/>
      <c r="J6" s="624"/>
      <c r="K6" s="624"/>
      <c r="L6" s="624"/>
      <c r="M6" s="624"/>
      <c r="N6" s="624"/>
      <c r="O6" s="624"/>
      <c r="P6" s="624"/>
      <c r="Q6" s="624"/>
      <c r="R6" s="624"/>
      <c r="S6" s="693"/>
      <c r="T6" s="200"/>
      <c r="U6" s="202" t="str">
        <f>Summary!W6</f>
        <v>Language</v>
      </c>
      <c r="V6" s="207" t="str">
        <f>Summary!X6</f>
        <v>English</v>
      </c>
      <c r="Y6" s="53"/>
    </row>
    <row r="7" spans="2:25" ht="15" customHeight="1" x14ac:dyDescent="0.25">
      <c r="B7" s="297"/>
      <c r="C7" s="1"/>
      <c r="D7" s="1"/>
      <c r="E7" s="1"/>
      <c r="F7" s="1"/>
      <c r="G7" s="1"/>
      <c r="H7" s="750" t="str">
        <f>VLOOKUP("H1",Languages!A:J,VLOOKUP(Summary!X6,Languages!$C$2:$D$10,2,FALSE),FALSE)</f>
        <v>Machine-hour rate calculation
Only for information
Not linked with any worksheet and not considered via import and export!</v>
      </c>
      <c r="I7" s="751"/>
      <c r="J7" s="751"/>
      <c r="K7" s="751"/>
      <c r="L7" s="751"/>
      <c r="M7" s="751"/>
      <c r="N7" s="751"/>
      <c r="O7" s="751"/>
      <c r="P7" s="751"/>
      <c r="Q7" s="751"/>
      <c r="R7" s="751"/>
      <c r="S7" s="752"/>
      <c r="T7" s="199"/>
      <c r="U7" s="743" t="str">
        <f>VLOOKUP("0.01",Languages!A:J,VLOOKUP(Summary!X6,Languages!$C$2:$D$10,2,FALSE),FALSE)</f>
        <v>Field</v>
      </c>
      <c r="V7" s="743"/>
      <c r="W7" s="191"/>
      <c r="X7" s="192"/>
      <c r="Y7" s="53"/>
    </row>
    <row r="8" spans="2:25" ht="15" customHeight="1" x14ac:dyDescent="0.25">
      <c r="B8" s="297"/>
      <c r="C8" s="1"/>
      <c r="D8" s="1"/>
      <c r="E8" s="1"/>
      <c r="F8" s="1"/>
      <c r="G8" s="1"/>
      <c r="H8" s="753"/>
      <c r="I8" s="754"/>
      <c r="J8" s="754"/>
      <c r="K8" s="754"/>
      <c r="L8" s="754"/>
      <c r="M8" s="754"/>
      <c r="N8" s="754"/>
      <c r="O8" s="754"/>
      <c r="P8" s="754"/>
      <c r="Q8" s="754"/>
      <c r="R8" s="754"/>
      <c r="S8" s="755"/>
      <c r="T8" s="193"/>
      <c r="U8" s="744" t="str">
        <f>VLOOKUP("0.02",Languages!A:J,VLOOKUP(Summary!X6,Languages!$C$2:$D$10,2,FALSE),FALSE)</f>
        <v>Level 1</v>
      </c>
      <c r="V8" s="745"/>
      <c r="W8" s="194"/>
      <c r="X8" s="195"/>
    </row>
    <row r="9" spans="2:25" ht="15" customHeight="1" x14ac:dyDescent="0.25">
      <c r="B9" s="612"/>
      <c r="C9" s="613"/>
      <c r="D9" s="613"/>
      <c r="E9" s="613"/>
      <c r="F9" s="613"/>
      <c r="G9" s="614"/>
      <c r="H9" s="753"/>
      <c r="I9" s="754"/>
      <c r="J9" s="754"/>
      <c r="K9" s="754"/>
      <c r="L9" s="754"/>
      <c r="M9" s="754"/>
      <c r="N9" s="754"/>
      <c r="O9" s="754"/>
      <c r="P9" s="754"/>
      <c r="Q9" s="754"/>
      <c r="R9" s="754"/>
      <c r="S9" s="755"/>
      <c r="T9" s="193"/>
      <c r="U9" s="746" t="str">
        <f>VLOOKUP("0.03",Languages!A:J,VLOOKUP(Summary!X6,Languages!$C$2:$D$10,2,FALSE),FALSE)</f>
        <v>Level 2</v>
      </c>
      <c r="V9" s="747"/>
      <c r="W9" s="194"/>
      <c r="X9" s="195"/>
    </row>
    <row r="10" spans="2:25" ht="15.75" customHeight="1" thickBot="1" x14ac:dyDescent="0.3">
      <c r="B10" s="615"/>
      <c r="C10" s="616"/>
      <c r="D10" s="616"/>
      <c r="E10" s="616"/>
      <c r="F10" s="616"/>
      <c r="G10" s="617"/>
      <c r="H10" s="756"/>
      <c r="I10" s="757"/>
      <c r="J10" s="757"/>
      <c r="K10" s="757"/>
      <c r="L10" s="757"/>
      <c r="M10" s="757"/>
      <c r="N10" s="757"/>
      <c r="O10" s="757"/>
      <c r="P10" s="757"/>
      <c r="Q10" s="757"/>
      <c r="R10" s="757"/>
      <c r="S10" s="758"/>
      <c r="T10" s="196"/>
      <c r="U10" s="748" t="str">
        <f>VLOOKUP("0.04",Languages!A:J,VLOOKUP(Summary!X6,Languages!$C$2:$D$10,2,FALSE),FALSE)</f>
        <v>calculated</v>
      </c>
      <c r="V10" s="749"/>
      <c r="W10" s="197"/>
      <c r="X10" s="198"/>
    </row>
    <row r="11" spans="2:25" x14ac:dyDescent="0.25">
      <c r="B11" s="11"/>
      <c r="C11" s="11"/>
      <c r="D11" s="11"/>
      <c r="E11" s="11"/>
      <c r="F11" s="11"/>
      <c r="G11" s="11"/>
      <c r="H11" s="110"/>
      <c r="I11" s="110"/>
      <c r="J11" s="110"/>
      <c r="K11" s="110"/>
      <c r="L11" s="110"/>
      <c r="M11" s="110"/>
      <c r="N11" s="110"/>
      <c r="O11" s="110"/>
      <c r="P11" s="110"/>
      <c r="Q11" s="110"/>
      <c r="R11" s="110"/>
      <c r="S11" s="110"/>
      <c r="T11" s="110"/>
      <c r="U11" s="110"/>
      <c r="V11" s="110"/>
      <c r="W11" s="110"/>
      <c r="X11" s="110"/>
    </row>
    <row r="12" spans="2:25" x14ac:dyDescent="0.25">
      <c r="C12" s="112" t="str">
        <f>VLOOKUP("H2",Languages!A:J,VLOOKUP(Summary!X6,Languages!$C$2:$D$10,2,FALSE),FALSE)</f>
        <v>Machine Basic data</v>
      </c>
      <c r="D12" s="11"/>
      <c r="E12" s="11"/>
      <c r="F12" s="11"/>
      <c r="G12" s="11"/>
      <c r="H12" s="110"/>
      <c r="I12" s="110"/>
      <c r="J12" s="110"/>
      <c r="K12" s="110"/>
      <c r="L12" s="110"/>
      <c r="M12" s="110"/>
      <c r="N12" s="110"/>
      <c r="O12" s="110"/>
      <c r="P12" s="110"/>
      <c r="Q12" s="110"/>
      <c r="R12" s="110"/>
      <c r="S12" s="110"/>
      <c r="T12" s="110"/>
      <c r="U12" s="110"/>
      <c r="V12" s="110"/>
      <c r="W12" s="110"/>
      <c r="X12" s="110"/>
    </row>
    <row r="13" spans="2:25" ht="8.1" customHeight="1" x14ac:dyDescent="0.25">
      <c r="B13" s="11"/>
      <c r="C13" s="11"/>
      <c r="D13" s="11"/>
      <c r="E13" s="11"/>
      <c r="F13" s="11"/>
      <c r="G13" s="11"/>
      <c r="H13" s="110"/>
      <c r="I13" s="110"/>
      <c r="J13" s="110"/>
      <c r="K13" s="110"/>
      <c r="L13" s="110"/>
      <c r="M13" s="110"/>
      <c r="N13" s="110"/>
      <c r="O13" s="110"/>
      <c r="P13" s="110"/>
      <c r="Q13" s="110"/>
      <c r="R13" s="110"/>
      <c r="S13" s="110"/>
      <c r="T13" s="110"/>
      <c r="U13" s="110"/>
      <c r="V13" s="110"/>
      <c r="W13" s="110"/>
      <c r="X13" s="110"/>
    </row>
    <row r="14" spans="2:25" x14ac:dyDescent="0.25">
      <c r="D14" s="11"/>
      <c r="E14" s="114" t="str">
        <f>VLOOKUP("H3",Languages!A:J,VLOOKUP(Summary!X6,Languages!$C$2:$D$10,2,FALSE),FALSE)</f>
        <v>Manufacturer</v>
      </c>
      <c r="J14" s="740"/>
      <c r="K14" s="741"/>
      <c r="L14" s="742"/>
      <c r="M14" s="110"/>
      <c r="N14" s="110"/>
      <c r="O14" s="114" t="str">
        <f>VLOOKUP("H6",Languages!A:J,VLOOKUP(Summary!X6,Languages!$C$2:$D$10,2,FALSE),FALSE)</f>
        <v>Machine class</v>
      </c>
      <c r="P14" s="110"/>
      <c r="Q14" s="115"/>
      <c r="R14" s="741"/>
      <c r="S14" s="741"/>
      <c r="T14" s="741"/>
      <c r="U14" s="741"/>
      <c r="V14" s="741"/>
      <c r="W14" s="742"/>
      <c r="X14" s="110"/>
    </row>
    <row r="15" spans="2:25" ht="8.1" customHeight="1" x14ac:dyDescent="0.25">
      <c r="B15" s="11"/>
      <c r="C15" s="11"/>
      <c r="D15" s="11"/>
      <c r="E15" s="11"/>
      <c r="F15" s="11"/>
      <c r="J15" s="110"/>
      <c r="K15" s="110"/>
      <c r="L15" s="110"/>
      <c r="M15" s="110"/>
      <c r="N15" s="110"/>
      <c r="O15" s="110"/>
      <c r="P15" s="110"/>
      <c r="Q15" s="110"/>
      <c r="R15" s="110"/>
      <c r="S15" s="110"/>
      <c r="T15" s="110"/>
      <c r="U15" s="110"/>
      <c r="V15" s="110"/>
      <c r="W15" s="110"/>
      <c r="X15" s="110"/>
    </row>
    <row r="16" spans="2:25" x14ac:dyDescent="0.25">
      <c r="D16" s="11"/>
      <c r="E16" s="114" t="str">
        <f>VLOOKUP("H4",Languages!A:J,VLOOKUP(Summary!X6,Languages!$C$2:$D$10,2,FALSE),FALSE)</f>
        <v>Type designation</v>
      </c>
      <c r="J16" s="740"/>
      <c r="K16" s="741"/>
      <c r="L16" s="742"/>
      <c r="M16" s="110"/>
      <c r="N16" s="110"/>
      <c r="O16" t="str">
        <f>VLOOKUP("H7",Languages!A:J,VLOOKUP(Summary!X6,Languages!$C$2:$D$10,2,FALSE),FALSE)</f>
        <v>Miscellaneous</v>
      </c>
      <c r="P16" s="110"/>
      <c r="Q16" s="115"/>
      <c r="R16" s="741"/>
      <c r="S16" s="741"/>
      <c r="T16" s="741"/>
      <c r="U16" s="741"/>
      <c r="V16" s="741"/>
      <c r="W16" s="742"/>
      <c r="X16" s="110"/>
    </row>
    <row r="17" spans="2:25" ht="8.1" customHeight="1" x14ac:dyDescent="0.25">
      <c r="D17" s="11"/>
      <c r="E17" s="11"/>
      <c r="G17" s="113"/>
      <c r="J17" s="114"/>
      <c r="K17" s="114"/>
      <c r="L17" s="114"/>
      <c r="M17" s="110"/>
      <c r="N17" s="110"/>
      <c r="O17" s="114"/>
      <c r="P17" s="110"/>
      <c r="Q17" s="119"/>
      <c r="R17" s="114"/>
      <c r="S17" s="114"/>
      <c r="T17" s="114"/>
      <c r="U17" s="114"/>
      <c r="V17" s="114"/>
      <c r="W17" s="114"/>
      <c r="X17" s="110"/>
    </row>
    <row r="18" spans="2:25" x14ac:dyDescent="0.25">
      <c r="B18" s="11"/>
      <c r="C18" s="11"/>
      <c r="D18" s="11"/>
      <c r="E18" s="114" t="str">
        <f>VLOOKUP("H5",Languages!A:J,VLOOKUP(Summary!X6,Languages!$C$2:$D$10,2,FALSE),FALSE)</f>
        <v>Category</v>
      </c>
      <c r="F18" s="11"/>
      <c r="H18" s="110"/>
      <c r="I18" s="110"/>
      <c r="J18" s="740"/>
      <c r="K18" s="741"/>
      <c r="L18" s="742"/>
      <c r="M18" s="110"/>
      <c r="N18" s="110"/>
      <c r="O18" s="114" t="str">
        <f>VLOOKUP("H8",Languages!A:J,VLOOKUP(Summary!X6,Languages!$C$2:$D$10,2,FALSE),FALSE)</f>
        <v>Miscellaneous</v>
      </c>
      <c r="P18" s="110"/>
      <c r="Q18" s="110"/>
      <c r="R18" s="740"/>
      <c r="S18" s="741"/>
      <c r="T18" s="741"/>
      <c r="U18" s="741"/>
      <c r="V18" s="741"/>
      <c r="W18" s="742"/>
      <c r="X18" s="110"/>
    </row>
    <row r="19" spans="2:25" ht="15.75" thickBot="1" x14ac:dyDescent="0.3">
      <c r="B19" s="1"/>
      <c r="C19" s="1"/>
      <c r="D19" s="1"/>
      <c r="E19" s="1"/>
      <c r="F19" s="1"/>
      <c r="G19" s="1"/>
      <c r="T19" s="644"/>
      <c r="U19" s="644"/>
      <c r="V19" s="644"/>
      <c r="W19" s="644"/>
      <c r="X19" s="644"/>
    </row>
    <row r="20" spans="2:25" x14ac:dyDescent="0.25">
      <c r="B20" s="39"/>
      <c r="C20" s="40"/>
      <c r="D20" s="40"/>
      <c r="E20" s="40"/>
      <c r="F20" s="40"/>
      <c r="G20" s="40"/>
      <c r="H20" s="40"/>
      <c r="I20" s="40"/>
      <c r="J20" s="40"/>
      <c r="K20" s="40"/>
      <c r="L20" s="40"/>
      <c r="M20" s="40"/>
      <c r="N20" s="40"/>
      <c r="O20" s="40"/>
      <c r="P20" s="40"/>
      <c r="Q20" s="40"/>
      <c r="R20" s="40"/>
      <c r="S20" s="40"/>
      <c r="T20" s="40"/>
      <c r="U20" s="40"/>
      <c r="V20" s="40"/>
      <c r="W20" s="40"/>
      <c r="X20" s="4"/>
    </row>
    <row r="21" spans="2:25" x14ac:dyDescent="0.25">
      <c r="B21" s="36"/>
      <c r="C21" s="82" t="str">
        <f>VLOOKUP("H9",Languages!A:J,VLOOKUP(Summary!X6,Languages!$C$2:$D$10,2,FALSE),FALSE)</f>
        <v>Investment</v>
      </c>
      <c r="D21" s="34"/>
      <c r="E21" s="34"/>
      <c r="F21" s="34"/>
      <c r="G21" s="34"/>
      <c r="H21" s="34"/>
      <c r="I21" s="34"/>
      <c r="J21" s="34"/>
      <c r="K21" s="34"/>
      <c r="L21" s="34"/>
      <c r="M21" s="34"/>
      <c r="N21" s="34"/>
      <c r="O21" s="111" t="str">
        <f>VLOOKUP("H17",Languages!A:J,VLOOKUP(Summary!X6,Languages!$C$2:$D$10,2,FALSE),FALSE)</f>
        <v>Capacity factor per year</v>
      </c>
      <c r="P21" s="34"/>
      <c r="Q21" s="34"/>
      <c r="R21" s="34"/>
      <c r="S21" s="34"/>
      <c r="T21" s="34"/>
      <c r="U21" s="34"/>
      <c r="V21" s="34"/>
      <c r="W21" s="83"/>
      <c r="X21" s="41"/>
    </row>
    <row r="22" spans="2:25" ht="8.1" customHeight="1" x14ac:dyDescent="0.25">
      <c r="B22" s="36"/>
      <c r="C22" s="84"/>
      <c r="L22" s="12"/>
      <c r="W22" s="85"/>
      <c r="X22" s="41"/>
    </row>
    <row r="23" spans="2:25" x14ac:dyDescent="0.25">
      <c r="B23" s="36"/>
      <c r="C23" s="84" t="str">
        <f>VLOOKUP("H10",Languages!A:J,VLOOKUP(Summary!X6,Languages!$C$2:$D$10,2,FALSE),FALSE)</f>
        <v>Aquistion value</v>
      </c>
      <c r="L23" s="321"/>
      <c r="M23">
        <f>Summary!D18</f>
        <v>0</v>
      </c>
      <c r="O23" t="str">
        <f>VLOOKUP("H18",Languages!A:J,VLOOKUP(Summary!X6,Languages!$C$2:$D$10,2,FALSE),FALSE)</f>
        <v>Production days per year</v>
      </c>
      <c r="T23" s="322"/>
      <c r="U23" s="84"/>
      <c r="W23" s="85"/>
      <c r="X23" s="41"/>
    </row>
    <row r="24" spans="2:25" ht="8.1" customHeight="1" x14ac:dyDescent="0.25">
      <c r="B24" s="36"/>
      <c r="C24" s="84"/>
      <c r="L24" s="90"/>
      <c r="T24" s="96"/>
      <c r="W24" s="85"/>
      <c r="X24" s="41"/>
    </row>
    <row r="25" spans="2:25" x14ac:dyDescent="0.25">
      <c r="B25" s="36"/>
      <c r="C25" s="84" t="str">
        <f>VLOOKUP("H11",Languages!A:J,VLOOKUP(Summary!X6,Languages!$C$2:$D$10,2,FALSE),FALSE)</f>
        <v>Installation expenditures</v>
      </c>
      <c r="J25" s="337"/>
      <c r="K25" t="s">
        <v>6</v>
      </c>
      <c r="L25" s="97">
        <f>L23*(J25/100)</f>
        <v>0</v>
      </c>
      <c r="M25">
        <f>Summary!D18</f>
        <v>0</v>
      </c>
      <c r="O25" t="str">
        <f>VLOOKUP("H19",Languages!A:J,VLOOKUP(Summary!X6,Languages!$C$2:$D$10,2,FALSE),FALSE)</f>
        <v>Shift per production day</v>
      </c>
      <c r="T25" s="322"/>
      <c r="W25" s="85"/>
      <c r="X25" s="41"/>
    </row>
    <row r="26" spans="2:25" ht="8.1" customHeight="1" x14ac:dyDescent="0.25">
      <c r="B26" s="36"/>
      <c r="C26" s="84"/>
      <c r="J26" s="95"/>
      <c r="L26" s="90"/>
      <c r="T26" s="96"/>
      <c r="W26" s="85"/>
      <c r="X26" s="41"/>
    </row>
    <row r="27" spans="2:25" x14ac:dyDescent="0.25">
      <c r="B27" s="36"/>
      <c r="C27" s="84" t="str">
        <f>VLOOKUP("H12",Languages!A:J,VLOOKUP(Summary!X6,Languages!$C$2:$D$10,2,FALSE),FALSE)</f>
        <v>Foundation</v>
      </c>
      <c r="J27" s="337"/>
      <c r="K27" t="s">
        <v>6</v>
      </c>
      <c r="L27" s="97">
        <f>L23*(J27/100)</f>
        <v>0</v>
      </c>
      <c r="M27">
        <f>Summary!D18</f>
        <v>0</v>
      </c>
      <c r="O27" t="str">
        <f>VLOOKUP("H20",Languages!A:J,VLOOKUP(Summary!X6,Languages!$C$2:$D$10,2,FALSE),FALSE)</f>
        <v>Production hours per shift</v>
      </c>
      <c r="T27" s="322"/>
      <c r="W27" s="85"/>
      <c r="X27" s="41"/>
    </row>
    <row r="28" spans="2:25" ht="8.1" customHeight="1" x14ac:dyDescent="0.25">
      <c r="B28" s="36"/>
      <c r="C28" s="84"/>
      <c r="J28" s="95"/>
      <c r="L28" s="90"/>
      <c r="T28" s="96"/>
      <c r="W28" s="85"/>
      <c r="X28" s="41"/>
    </row>
    <row r="29" spans="2:25" x14ac:dyDescent="0.25">
      <c r="B29" s="36"/>
      <c r="C29" s="84" t="str">
        <f>VLOOKUP("H13",Languages!A:J,VLOOKUP(Summary!X6,Languages!$C$2:$D$10,2,FALSE),FALSE)</f>
        <v>Other expenditures</v>
      </c>
      <c r="J29" s="337"/>
      <c r="K29" t="s">
        <v>6</v>
      </c>
      <c r="L29" s="97">
        <f>L23*(J29/100)</f>
        <v>0</v>
      </c>
      <c r="M29">
        <f>Summary!D18</f>
        <v>0</v>
      </c>
      <c r="O29" t="str">
        <f>VLOOKUP("H21",Languages!A:J,VLOOKUP(Summary!X6,Languages!$C$2:$D$10,2,FALSE),FALSE)</f>
        <v>Production hours per year</v>
      </c>
      <c r="T29" s="564">
        <f>T23*T25*T27</f>
        <v>0</v>
      </c>
      <c r="W29" s="85"/>
      <c r="X29" s="41"/>
      <c r="Y29" s="51"/>
    </row>
    <row r="30" spans="2:25" ht="8.1" customHeight="1" x14ac:dyDescent="0.25">
      <c r="B30" s="36"/>
      <c r="C30" s="84"/>
      <c r="J30" s="95"/>
      <c r="L30" s="90"/>
      <c r="T30" s="96" t="s">
        <v>1485</v>
      </c>
      <c r="W30" s="85"/>
      <c r="X30" s="41"/>
    </row>
    <row r="31" spans="2:25" x14ac:dyDescent="0.25">
      <c r="B31" s="36"/>
      <c r="C31" s="84" t="str">
        <f>VLOOKUP("H14",Languages!A:J,VLOOKUP(Summary!X6,Languages!$C$2:$D$10,2,FALSE),FALSE)</f>
        <v>Total Investment</v>
      </c>
      <c r="J31" s="95"/>
      <c r="L31" s="97">
        <f>L23+L25+L27+L29</f>
        <v>0</v>
      </c>
      <c r="M31">
        <f>Summary!D18</f>
        <v>0</v>
      </c>
      <c r="O31" t="str">
        <f>VLOOKUP("H22",Languages!A:J,VLOOKUP(Summary!X6,Languages!$C$2:$D$10,2,FALSE),FALSE)</f>
        <v>Utilization ratio</v>
      </c>
      <c r="T31" s="323"/>
      <c r="U31" t="s">
        <v>6</v>
      </c>
      <c r="W31" s="85"/>
      <c r="X31" s="41"/>
    </row>
    <row r="32" spans="2:25" ht="8.1" customHeight="1" x14ac:dyDescent="0.25">
      <c r="B32" s="36"/>
      <c r="C32" s="84"/>
      <c r="J32" s="95"/>
      <c r="L32" s="90"/>
      <c r="T32" s="96"/>
      <c r="W32" s="85"/>
      <c r="X32" s="41"/>
    </row>
    <row r="33" spans="2:26" x14ac:dyDescent="0.25">
      <c r="B33" s="36"/>
      <c r="C33" s="84" t="str">
        <f>VLOOKUP("H15",Languages!A:J,VLOOKUP(Summary!X6,Languages!$C$2:$D$10,2,FALSE),FALSE)</f>
        <v>Residual Value</v>
      </c>
      <c r="J33" s="337"/>
      <c r="K33" t="s">
        <v>6</v>
      </c>
      <c r="L33" s="97">
        <f>L31*(J33/100)</f>
        <v>0</v>
      </c>
      <c r="M33">
        <f>Summary!D18</f>
        <v>0</v>
      </c>
      <c r="O33" t="str">
        <f>VLOOKUP("H23",Languages!A:J,VLOOKUP(Summary!X6,Languages!$C$2:$D$10,2,FALSE),FALSE)</f>
        <v>Capacity factor per year</v>
      </c>
      <c r="T33" s="208">
        <f>T29*(T31/100)</f>
        <v>0</v>
      </c>
      <c r="U33" t="s">
        <v>1486</v>
      </c>
      <c r="W33" s="85"/>
      <c r="X33" s="41"/>
    </row>
    <row r="34" spans="2:26" ht="8.1" customHeight="1" x14ac:dyDescent="0.25">
      <c r="B34" s="36"/>
      <c r="C34" s="84"/>
      <c r="J34" s="89"/>
      <c r="L34" s="91"/>
      <c r="W34" s="85"/>
      <c r="X34" s="41"/>
    </row>
    <row r="35" spans="2:26" ht="15" customHeight="1" x14ac:dyDescent="0.25">
      <c r="B35" s="36"/>
      <c r="C35" s="84" t="str">
        <f>VLOOKUP("H16",Languages!A:J,VLOOKUP(Summary!X6,Languages!$C$2:$D$10,2,FALSE),FALSE)</f>
        <v>Depreciation sum</v>
      </c>
      <c r="L35" s="97">
        <f>L31-L33</f>
        <v>0</v>
      </c>
      <c r="M35">
        <f>Summary!D18</f>
        <v>0</v>
      </c>
      <c r="W35" s="85"/>
      <c r="X35" s="41"/>
    </row>
    <row r="36" spans="2:26" ht="8.1" customHeight="1" x14ac:dyDescent="0.25">
      <c r="B36" s="36"/>
      <c r="C36" s="86"/>
      <c r="D36" s="12"/>
      <c r="E36" s="12"/>
      <c r="F36" s="12"/>
      <c r="G36" s="12"/>
      <c r="H36" s="12"/>
      <c r="I36" s="12"/>
      <c r="J36" s="12"/>
      <c r="K36" s="12"/>
      <c r="L36" s="92"/>
      <c r="M36" s="12"/>
      <c r="N36" s="12"/>
      <c r="O36" s="12"/>
      <c r="P36" s="12"/>
      <c r="Q36" s="12"/>
      <c r="R36" s="12"/>
      <c r="S36" s="12"/>
      <c r="T36" s="12"/>
      <c r="U36" s="12"/>
      <c r="V36" s="12"/>
      <c r="W36" s="87"/>
      <c r="X36" s="41"/>
      <c r="Y36" s="50"/>
      <c r="Z36" s="51"/>
    </row>
    <row r="37" spans="2:26" ht="8.1" customHeight="1" x14ac:dyDescent="0.25">
      <c r="B37" s="36"/>
      <c r="L37" s="93"/>
      <c r="X37" s="41"/>
    </row>
    <row r="38" spans="2:26" x14ac:dyDescent="0.25">
      <c r="B38" s="36"/>
      <c r="C38" s="82" t="str">
        <f>VLOOKUP("H24",Languages!A:J,VLOOKUP(Summary!X6,Languages!$C$2:$D$10,2,FALSE),FALSE)</f>
        <v>Fixed Costs</v>
      </c>
      <c r="D38" s="34"/>
      <c r="E38" s="34"/>
      <c r="F38" s="34"/>
      <c r="G38" s="34"/>
      <c r="H38" s="34"/>
      <c r="I38" s="34"/>
      <c r="J38" s="34"/>
      <c r="K38" s="34"/>
      <c r="L38" s="94"/>
      <c r="M38" s="34"/>
      <c r="N38" s="34"/>
      <c r="O38" s="34"/>
      <c r="P38" s="34"/>
      <c r="Q38" s="34"/>
      <c r="R38" s="34"/>
      <c r="S38" s="34"/>
      <c r="T38" s="34"/>
      <c r="U38" s="34"/>
      <c r="V38" s="34"/>
      <c r="W38" s="83"/>
      <c r="X38" s="41"/>
    </row>
    <row r="39" spans="2:26" ht="8.1" customHeight="1" x14ac:dyDescent="0.25">
      <c r="B39" s="36"/>
      <c r="C39" s="84"/>
      <c r="L39" s="93"/>
      <c r="W39" s="85"/>
      <c r="X39" s="41"/>
    </row>
    <row r="40" spans="2:26" x14ac:dyDescent="0.25">
      <c r="B40" s="36"/>
      <c r="C40" s="84" t="str">
        <f>VLOOKUP("H25",Languages!A:J,VLOOKUP(Summary!X6,Languages!$C$2:$D$10,2,FALSE),FALSE)</f>
        <v>Age of Machine</v>
      </c>
      <c r="L40" s="338"/>
      <c r="M40" t="s">
        <v>1487</v>
      </c>
      <c r="W40" s="85"/>
      <c r="X40" s="41"/>
    </row>
    <row r="41" spans="2:26" ht="8.1" customHeight="1" x14ac:dyDescent="0.25">
      <c r="B41" s="36"/>
      <c r="C41" s="84"/>
      <c r="L41" s="93"/>
      <c r="W41" s="85"/>
      <c r="X41" s="41"/>
    </row>
    <row r="42" spans="2:26" x14ac:dyDescent="0.25">
      <c r="B42" s="36"/>
      <c r="C42" s="84" t="str">
        <f>VLOOKUP("H26",Languages!A:J,VLOOKUP(Summary!X6,Languages!$C$2:$D$10,2,FALSE),FALSE)</f>
        <v>Imputed depreciation</v>
      </c>
      <c r="L42" s="339"/>
      <c r="M42" t="s">
        <v>1487</v>
      </c>
      <c r="O42" s="209">
        <f>IF(L42=0,0,IF(L40&gt;=L42,0,L35/L42))</f>
        <v>0</v>
      </c>
      <c r="P42" t="str">
        <f>Summary!D18 &amp; "/Years(s)"</f>
        <v>/Years(s)</v>
      </c>
      <c r="T42" s="210">
        <f>IF(T33=0,0,O42/T33)</f>
        <v>0</v>
      </c>
      <c r="U42" t="str">
        <f>Summary!D18 &amp; "/h"</f>
        <v>/h</v>
      </c>
      <c r="W42" s="85"/>
      <c r="X42" s="41"/>
    </row>
    <row r="43" spans="2:26" ht="8.1" customHeight="1" x14ac:dyDescent="0.25">
      <c r="B43" s="36"/>
      <c r="C43" s="84"/>
      <c r="L43" s="93"/>
      <c r="O43" s="211"/>
      <c r="T43" s="212"/>
      <c r="W43" s="85"/>
      <c r="X43" s="41"/>
    </row>
    <row r="44" spans="2:26" x14ac:dyDescent="0.25">
      <c r="B44" s="36"/>
      <c r="C44" s="84" t="str">
        <f>VLOOKUP("H27",Languages!A:J,VLOOKUP(Summary!X6,Languages!$C$2:$D$10,2,FALSE),FALSE)</f>
        <v>Imputed interest rate</v>
      </c>
      <c r="L44" s="339"/>
      <c r="M44" t="s">
        <v>6</v>
      </c>
      <c r="O44" s="209">
        <f>IF(L42=0,0,IF(L40&gt;=L42,0,((L31+L33)/2)*(L44/100)))</f>
        <v>0</v>
      </c>
      <c r="P44" t="str">
        <f>Summary!D18 &amp; "/Years(s)"</f>
        <v>/Years(s)</v>
      </c>
      <c r="T44" s="210">
        <f>IF(T33=0,0,O44/T33)</f>
        <v>0</v>
      </c>
      <c r="U44" t="str">
        <f>Summary!D18 &amp; "/h"</f>
        <v>/h</v>
      </c>
      <c r="W44" s="85"/>
      <c r="X44" s="41"/>
    </row>
    <row r="45" spans="2:26" ht="8.1" customHeight="1" x14ac:dyDescent="0.25">
      <c r="B45" s="36"/>
      <c r="C45" s="84"/>
      <c r="L45" s="93"/>
      <c r="O45" s="211"/>
      <c r="T45" s="212"/>
      <c r="W45" s="85"/>
      <c r="X45" s="41"/>
    </row>
    <row r="46" spans="2:26" x14ac:dyDescent="0.25">
      <c r="B46" s="36"/>
      <c r="C46" s="84" t="str">
        <f>VLOOKUP("H28",Languages!A:J,VLOOKUP(Summary!X6,Languages!$C$2:$D$10,2,FALSE),FALSE)</f>
        <v>Required gross area including auxiliary areas</v>
      </c>
      <c r="L46" s="339"/>
      <c r="M46" t="s">
        <v>1488</v>
      </c>
      <c r="O46" s="211"/>
      <c r="W46" s="85"/>
      <c r="X46" s="41"/>
    </row>
    <row r="47" spans="2:26" ht="8.1" customHeight="1" x14ac:dyDescent="0.25">
      <c r="B47" s="36"/>
      <c r="C47" s="84"/>
      <c r="L47" s="93"/>
      <c r="O47" s="211"/>
      <c r="T47" s="212"/>
      <c r="W47" s="85"/>
      <c r="X47" s="41"/>
    </row>
    <row r="48" spans="2:26" x14ac:dyDescent="0.25">
      <c r="B48" s="36"/>
      <c r="C48" s="84" t="str">
        <f>VLOOKUP("H29",Languages!A:J,VLOOKUP(Summary!X6,Languages!$C$2:$D$10,2,FALSE),FALSE)</f>
        <v>Leasing fee production area</v>
      </c>
      <c r="L48" s="339"/>
      <c r="M48" t="str">
        <f>Summary!D18 &amp; "/(m²month)"</f>
        <v>/(m²month)</v>
      </c>
      <c r="O48" s="209">
        <f>L46*L48*12</f>
        <v>0</v>
      </c>
      <c r="P48" t="str">
        <f>Summary!D18 &amp; "/Years(s)"</f>
        <v>/Years(s)</v>
      </c>
      <c r="T48" s="210">
        <f>IF(T33=0,0,O48/T33)</f>
        <v>0</v>
      </c>
      <c r="U48" t="str">
        <f>Summary!D18 &amp; "/h"</f>
        <v>/h</v>
      </c>
      <c r="W48" s="85"/>
      <c r="X48" s="41"/>
    </row>
    <row r="49" spans="2:24" ht="8.1" customHeight="1" x14ac:dyDescent="0.25">
      <c r="B49" s="36"/>
      <c r="C49" s="84"/>
      <c r="L49" s="93"/>
      <c r="O49" s="211"/>
      <c r="T49" s="212"/>
      <c r="W49" s="85"/>
      <c r="X49" s="41"/>
    </row>
    <row r="50" spans="2:24" x14ac:dyDescent="0.25">
      <c r="B50" s="36"/>
      <c r="C50" s="84" t="str">
        <f>VLOOKUP("H30",Languages!A:J,VLOOKUP(Summary!X6,Languages!$C$2:$D$10,2,FALSE),FALSE)</f>
        <v>Total fixed costs</v>
      </c>
      <c r="L50" s="93"/>
      <c r="O50" s="209">
        <f>O42+O44+O48</f>
        <v>0</v>
      </c>
      <c r="P50" t="str">
        <f>Summary!D18 &amp; "/Years(s)"</f>
        <v>/Years(s)</v>
      </c>
      <c r="T50" s="210">
        <f>T42+T44+T48</f>
        <v>0</v>
      </c>
      <c r="U50" t="str">
        <f>Summary!D18 &amp; "/h"</f>
        <v>/h</v>
      </c>
      <c r="W50" s="85"/>
      <c r="X50" s="41"/>
    </row>
    <row r="51" spans="2:24" x14ac:dyDescent="0.25">
      <c r="B51" s="36"/>
      <c r="C51" s="86"/>
      <c r="D51" s="12"/>
      <c r="E51" s="12"/>
      <c r="F51" s="12"/>
      <c r="G51" s="12"/>
      <c r="H51" s="12"/>
      <c r="I51" s="12"/>
      <c r="J51" s="12"/>
      <c r="K51" s="12"/>
      <c r="L51" s="92"/>
      <c r="M51" s="12"/>
      <c r="N51" s="12"/>
      <c r="O51" s="213"/>
      <c r="P51" s="12"/>
      <c r="Q51" s="12"/>
      <c r="R51" s="12"/>
      <c r="S51" s="12"/>
      <c r="T51" s="214"/>
      <c r="U51" s="12"/>
      <c r="V51" s="12"/>
      <c r="W51" s="87"/>
      <c r="X51" s="41"/>
    </row>
    <row r="52" spans="2:24" ht="8.1" customHeight="1" x14ac:dyDescent="0.25">
      <c r="B52" s="36"/>
      <c r="L52" s="93"/>
      <c r="O52" s="211"/>
      <c r="T52" s="212"/>
      <c r="X52" s="41"/>
    </row>
    <row r="53" spans="2:24" x14ac:dyDescent="0.25">
      <c r="B53" s="36"/>
      <c r="C53" s="82" t="str">
        <f>VLOOKUP("H31",Languages!A:J,VLOOKUP(Summary!X6,Languages!$C$2:$D$10,2,FALSE),FALSE)</f>
        <v>Variable costs</v>
      </c>
      <c r="D53" s="34"/>
      <c r="E53" s="34"/>
      <c r="F53" s="34"/>
      <c r="G53" s="34"/>
      <c r="H53" s="34"/>
      <c r="I53" s="34"/>
      <c r="J53" s="34"/>
      <c r="K53" s="34"/>
      <c r="L53" s="94"/>
      <c r="M53" s="34"/>
      <c r="N53" s="34"/>
      <c r="O53" s="215"/>
      <c r="P53" s="34"/>
      <c r="Q53" s="34"/>
      <c r="R53" s="34"/>
      <c r="S53" s="34"/>
      <c r="T53" s="216"/>
      <c r="U53" s="34"/>
      <c r="V53" s="34"/>
      <c r="W53" s="83"/>
      <c r="X53" s="41"/>
    </row>
    <row r="54" spans="2:24" ht="8.1" customHeight="1" x14ac:dyDescent="0.25">
      <c r="B54" s="36"/>
      <c r="C54" s="84"/>
      <c r="L54" s="93"/>
      <c r="O54" s="211"/>
      <c r="T54" s="212"/>
      <c r="W54" s="85"/>
      <c r="X54" s="41"/>
    </row>
    <row r="55" spans="2:24" x14ac:dyDescent="0.25">
      <c r="B55" s="36"/>
      <c r="C55" s="84" t="str">
        <f>VLOOKUP("H32",Languages!A:J,VLOOKUP(Summary!X6,Languages!$C$2:$D$10,2,FALSE),FALSE)</f>
        <v>Rated power</v>
      </c>
      <c r="L55" s="339"/>
      <c r="M55" t="s">
        <v>1489</v>
      </c>
      <c r="O55" s="211"/>
      <c r="T55" s="212"/>
      <c r="W55" s="85"/>
      <c r="X55" s="41"/>
    </row>
    <row r="56" spans="2:24" ht="8.1" customHeight="1" x14ac:dyDescent="0.25">
      <c r="B56" s="36"/>
      <c r="C56" s="84"/>
      <c r="L56" s="93"/>
      <c r="O56" s="211"/>
      <c r="T56" s="212"/>
      <c r="W56" s="85"/>
      <c r="X56" s="41"/>
    </row>
    <row r="57" spans="2:24" x14ac:dyDescent="0.25">
      <c r="B57" s="36"/>
      <c r="C57" s="84" t="str">
        <f>VLOOKUP("H33",Languages!A:J,VLOOKUP(Summary!X6,Languages!$C$2:$D$10,2,FALSE),FALSE)</f>
        <v>Performance capacity utilization</v>
      </c>
      <c r="L57" s="339"/>
      <c r="M57" t="s">
        <v>6</v>
      </c>
      <c r="O57" s="211"/>
      <c r="T57" s="212"/>
      <c r="W57" s="85"/>
      <c r="X57" s="41"/>
    </row>
    <row r="58" spans="2:24" ht="8.1" customHeight="1" x14ac:dyDescent="0.25">
      <c r="B58" s="36"/>
      <c r="C58" s="84"/>
      <c r="L58" s="93"/>
      <c r="O58" s="211"/>
      <c r="T58" s="212"/>
      <c r="W58" s="85"/>
      <c r="X58" s="41"/>
    </row>
    <row r="59" spans="2:24" x14ac:dyDescent="0.25">
      <c r="B59" s="36"/>
      <c r="C59" s="84" t="str">
        <f>VLOOKUP("H34",Languages!A:J,VLOOKUP(Summary!X6,Languages!$C$2:$D$10,2,FALSE),FALSE)</f>
        <v>Energy costs</v>
      </c>
      <c r="L59" s="339"/>
      <c r="M59" t="str">
        <f>Summary!D18 &amp; "/kWh"</f>
        <v>/kWh</v>
      </c>
      <c r="O59" s="209">
        <f>L55*(L57/100)*L59*T33</f>
        <v>0</v>
      </c>
      <c r="P59" t="str">
        <f>Summary!D18 &amp; "/Years(s)"</f>
        <v>/Years(s)</v>
      </c>
      <c r="T59" s="210">
        <f>IF(T33=0,0,O59/T33)</f>
        <v>0</v>
      </c>
      <c r="U59" t="str">
        <f>Summary!D18 &amp; "/h"</f>
        <v>/h</v>
      </c>
      <c r="W59" s="85"/>
      <c r="X59" s="41"/>
    </row>
    <row r="60" spans="2:24" ht="8.1" customHeight="1" x14ac:dyDescent="0.25">
      <c r="B60" s="36"/>
      <c r="C60" s="84"/>
      <c r="L60" s="93"/>
      <c r="O60" s="211"/>
      <c r="T60" s="212"/>
      <c r="W60" s="85"/>
      <c r="X60" s="41"/>
    </row>
    <row r="61" spans="2:24" x14ac:dyDescent="0.25">
      <c r="B61" s="36"/>
      <c r="C61" s="84" t="str">
        <f>VLOOKUP("H35",Languages!A:J,VLOOKUP(Summary!X6,Languages!$C$2:$D$10,2,FALSE),FALSE)</f>
        <v>Maintenance cost</v>
      </c>
      <c r="L61" s="339"/>
      <c r="M61" t="s">
        <v>6</v>
      </c>
      <c r="O61" s="209">
        <f>L31*(L61/100)</f>
        <v>0</v>
      </c>
      <c r="P61" t="str">
        <f>Summary!D18 &amp; "/Years(s)"</f>
        <v>/Years(s)</v>
      </c>
      <c r="T61" s="210">
        <f>IF(T33=0,0,O61/T33)</f>
        <v>0</v>
      </c>
      <c r="U61" t="str">
        <f>Summary!D18 &amp; "/h"</f>
        <v>/h</v>
      </c>
      <c r="W61" s="85"/>
      <c r="X61" s="41"/>
    </row>
    <row r="62" spans="2:24" ht="8.1" customHeight="1" x14ac:dyDescent="0.25">
      <c r="B62" s="36"/>
      <c r="C62" s="84"/>
      <c r="L62" s="93"/>
      <c r="W62" s="85"/>
      <c r="X62" s="41"/>
    </row>
    <row r="63" spans="2:24" x14ac:dyDescent="0.25">
      <c r="B63" s="36"/>
      <c r="C63" s="84" t="str">
        <f>VLOOKUP("H36",Languages!A:J,VLOOKUP(Summary!X6,Languages!$C$2:$D$10,2,FALSE),FALSE)</f>
        <v>Operation supplies costs</v>
      </c>
      <c r="L63" s="339"/>
      <c r="M63" t="s">
        <v>6</v>
      </c>
      <c r="O63" s="209">
        <f>L31*(L63/100)</f>
        <v>0</v>
      </c>
      <c r="P63" t="str">
        <f>Summary!D18 &amp; "/Years(s)"</f>
        <v>/Years(s)</v>
      </c>
      <c r="T63" s="210">
        <f>IF(T33=0,0,O63/T33)</f>
        <v>0</v>
      </c>
      <c r="U63" t="str">
        <f>Summary!D18 &amp; "/h"</f>
        <v>/h</v>
      </c>
      <c r="W63" s="85"/>
      <c r="X63" s="41"/>
    </row>
    <row r="64" spans="2:24" ht="8.1" customHeight="1" x14ac:dyDescent="0.25">
      <c r="B64" s="36"/>
      <c r="C64" s="84"/>
      <c r="O64" s="211"/>
      <c r="T64" s="212"/>
      <c r="W64" s="85"/>
      <c r="X64" s="41"/>
    </row>
    <row r="65" spans="2:24" x14ac:dyDescent="0.25">
      <c r="B65" s="36"/>
      <c r="C65" s="84" t="str">
        <f>VLOOKUP("H37",Languages!A:J,VLOOKUP(Summary!X6,Languages!$C$2:$D$10,2,FALSE),FALSE)</f>
        <v>Total variable costs</v>
      </c>
      <c r="O65" s="209">
        <f>O59+O61+O63</f>
        <v>0</v>
      </c>
      <c r="P65" t="str">
        <f>Summary!D18 &amp; "/Years(s)"</f>
        <v>/Years(s)</v>
      </c>
      <c r="T65" s="210">
        <f>T59+T61+T63</f>
        <v>0</v>
      </c>
      <c r="U65" t="str">
        <f>Summary!D18 &amp; "/h"</f>
        <v>/h</v>
      </c>
      <c r="W65" s="85"/>
      <c r="X65" s="41"/>
    </row>
    <row r="66" spans="2:24" x14ac:dyDescent="0.25">
      <c r="B66" s="36"/>
      <c r="C66" s="86"/>
      <c r="D66" s="12"/>
      <c r="E66" s="12"/>
      <c r="F66" s="12"/>
      <c r="G66" s="12"/>
      <c r="H66" s="12"/>
      <c r="I66" s="12"/>
      <c r="J66" s="12"/>
      <c r="K66" s="12"/>
      <c r="L66" s="12"/>
      <c r="M66" s="12"/>
      <c r="N66" s="12"/>
      <c r="O66" s="213"/>
      <c r="P66" s="12"/>
      <c r="Q66" s="12"/>
      <c r="R66" s="12"/>
      <c r="S66" s="12"/>
      <c r="T66" s="12"/>
      <c r="U66" s="12"/>
      <c r="V66" s="12"/>
      <c r="W66" s="87"/>
      <c r="X66" s="41"/>
    </row>
    <row r="67" spans="2:24" ht="8.1" customHeight="1" x14ac:dyDescent="0.25">
      <c r="B67" s="36"/>
      <c r="O67" s="211"/>
      <c r="X67" s="41"/>
    </row>
    <row r="68" spans="2:24" x14ac:dyDescent="0.25">
      <c r="B68" s="36"/>
      <c r="C68" s="82" t="str">
        <f>VLOOKUP("H38",Languages!A:J,VLOOKUP(Summary!X6,Languages!$C$2:$D$10,2,FALSE),FALSE)</f>
        <v>Machine-hour rate</v>
      </c>
      <c r="D68" s="34"/>
      <c r="E68" s="34"/>
      <c r="F68" s="34"/>
      <c r="G68" s="34"/>
      <c r="H68" s="34"/>
      <c r="I68" s="34"/>
      <c r="J68" s="34"/>
      <c r="K68" s="34"/>
      <c r="L68" s="34"/>
      <c r="M68" s="34"/>
      <c r="N68" s="34"/>
      <c r="O68" s="215"/>
      <c r="P68" s="34"/>
      <c r="Q68" s="34"/>
      <c r="R68" s="34"/>
      <c r="S68" s="34"/>
      <c r="T68" s="34"/>
      <c r="U68" s="34"/>
      <c r="V68" s="34"/>
      <c r="W68" s="83"/>
      <c r="X68" s="41"/>
    </row>
    <row r="69" spans="2:24" x14ac:dyDescent="0.25">
      <c r="B69" s="36"/>
      <c r="C69" s="84"/>
      <c r="O69" s="211"/>
      <c r="W69" s="85"/>
      <c r="X69" s="41"/>
    </row>
    <row r="70" spans="2:24" x14ac:dyDescent="0.25">
      <c r="B70" s="36"/>
      <c r="C70" s="88" t="str">
        <f>VLOOKUP("H39",Languages!A:J,VLOOKUP(Summary!X6,Languages!$C$2:$D$10,2,FALSE),FALSE)</f>
        <v>Machine costs per unit of time</v>
      </c>
      <c r="O70" s="209">
        <f>O50+O65</f>
        <v>0</v>
      </c>
      <c r="P70" t="str">
        <f>Summary!D18 &amp; "/Years(s)"</f>
        <v>/Years(s)</v>
      </c>
      <c r="T70" s="217">
        <f>IF(T33=0,0,O70/T33)</f>
        <v>0</v>
      </c>
      <c r="U70" t="str">
        <f>Summary!D18 &amp; "/h"</f>
        <v>/h</v>
      </c>
      <c r="W70" s="85"/>
      <c r="X70" s="41"/>
    </row>
    <row r="71" spans="2:24" x14ac:dyDescent="0.25">
      <c r="B71" s="36"/>
      <c r="C71" s="86"/>
      <c r="D71" s="12"/>
      <c r="E71" s="12"/>
      <c r="F71" s="12"/>
      <c r="G71" s="12"/>
      <c r="H71" s="12"/>
      <c r="I71" s="12"/>
      <c r="J71" s="12"/>
      <c r="K71" s="12"/>
      <c r="L71" s="12"/>
      <c r="M71" s="12"/>
      <c r="N71" s="12"/>
      <c r="O71" s="12"/>
      <c r="P71" s="12"/>
      <c r="Q71" s="12"/>
      <c r="R71" s="12"/>
      <c r="S71" s="12"/>
      <c r="T71" s="12"/>
      <c r="U71" s="12"/>
      <c r="V71" s="12"/>
      <c r="W71" s="87"/>
      <c r="X71" s="41"/>
    </row>
    <row r="72" spans="2:24" ht="15.75" thickBot="1" x14ac:dyDescent="0.3">
      <c r="B72" s="37"/>
      <c r="C72" s="38"/>
      <c r="D72" s="38"/>
      <c r="E72" s="38"/>
      <c r="F72" s="38"/>
      <c r="G72" s="38"/>
      <c r="H72" s="38"/>
      <c r="I72" s="38"/>
      <c r="J72" s="38"/>
      <c r="K72" s="38"/>
      <c r="L72" s="38"/>
      <c r="M72" s="38"/>
      <c r="N72" s="38"/>
      <c r="O72" s="38"/>
      <c r="P72" s="38"/>
      <c r="Q72" s="38"/>
      <c r="R72" s="38"/>
      <c r="S72" s="38"/>
      <c r="T72" s="38"/>
      <c r="U72" s="38"/>
      <c r="V72" s="38"/>
      <c r="W72" s="38"/>
      <c r="X72" s="42"/>
    </row>
    <row r="73" spans="2:24" ht="15.75" thickBot="1" x14ac:dyDescent="0.3"/>
    <row r="74" spans="2:24" x14ac:dyDescent="0.25">
      <c r="B74" s="663" t="str">
        <f>VLOOKUP("0.24",Languages!A:J,VLOOKUP(Summary!X6,Languages!$C$2:$D$10,2,FALSE),FALSE)</f>
        <v>Comments:</v>
      </c>
      <c r="C74" s="664"/>
      <c r="D74" s="665"/>
      <c r="E74" s="762"/>
      <c r="F74" s="763"/>
      <c r="G74" s="763"/>
      <c r="H74" s="763"/>
      <c r="I74" s="763"/>
      <c r="J74" s="763"/>
      <c r="K74" s="763"/>
      <c r="L74" s="763"/>
      <c r="M74" s="763"/>
      <c r="N74" s="763"/>
      <c r="O74" s="763"/>
      <c r="P74" s="763"/>
      <c r="Q74" s="763"/>
      <c r="R74" s="763"/>
      <c r="S74" s="763"/>
      <c r="T74" s="763"/>
      <c r="U74" s="763"/>
      <c r="V74" s="763"/>
      <c r="W74" s="763"/>
      <c r="X74" s="764"/>
    </row>
    <row r="75" spans="2:24" x14ac:dyDescent="0.25">
      <c r="B75" s="666"/>
      <c r="C75" s="667"/>
      <c r="D75" s="668"/>
      <c r="E75" s="765"/>
      <c r="F75" s="766"/>
      <c r="G75" s="766"/>
      <c r="H75" s="766"/>
      <c r="I75" s="766"/>
      <c r="J75" s="766"/>
      <c r="K75" s="766"/>
      <c r="L75" s="766"/>
      <c r="M75" s="766"/>
      <c r="N75" s="766"/>
      <c r="O75" s="766"/>
      <c r="P75" s="766"/>
      <c r="Q75" s="766"/>
      <c r="R75" s="766"/>
      <c r="S75" s="766"/>
      <c r="T75" s="766"/>
      <c r="U75" s="766"/>
      <c r="V75" s="766"/>
      <c r="W75" s="766"/>
      <c r="X75" s="767"/>
    </row>
    <row r="76" spans="2:24" x14ac:dyDescent="0.25">
      <c r="B76" s="666"/>
      <c r="C76" s="667"/>
      <c r="D76" s="668"/>
      <c r="E76" s="765"/>
      <c r="F76" s="766"/>
      <c r="G76" s="766"/>
      <c r="H76" s="766"/>
      <c r="I76" s="766"/>
      <c r="J76" s="766"/>
      <c r="K76" s="766"/>
      <c r="L76" s="766"/>
      <c r="M76" s="766"/>
      <c r="N76" s="766"/>
      <c r="O76" s="766"/>
      <c r="P76" s="766"/>
      <c r="Q76" s="766"/>
      <c r="R76" s="766"/>
      <c r="S76" s="766"/>
      <c r="T76" s="766"/>
      <c r="U76" s="766"/>
      <c r="V76" s="766"/>
      <c r="W76" s="766"/>
      <c r="X76" s="767"/>
    </row>
    <row r="77" spans="2:24" ht="15.75" thickBot="1" x14ac:dyDescent="0.3">
      <c r="B77" s="759"/>
      <c r="C77" s="760"/>
      <c r="D77" s="761"/>
      <c r="E77" s="768"/>
      <c r="F77" s="769"/>
      <c r="G77" s="769"/>
      <c r="H77" s="769"/>
      <c r="I77" s="769"/>
      <c r="J77" s="769"/>
      <c r="K77" s="769"/>
      <c r="L77" s="769"/>
      <c r="M77" s="769"/>
      <c r="N77" s="769"/>
      <c r="O77" s="769"/>
      <c r="P77" s="769"/>
      <c r="Q77" s="769"/>
      <c r="R77" s="769"/>
      <c r="S77" s="769"/>
      <c r="T77" s="769"/>
      <c r="U77" s="769"/>
      <c r="V77" s="769"/>
      <c r="W77" s="769"/>
      <c r="X77" s="770"/>
    </row>
  </sheetData>
  <mergeCells count="17">
    <mergeCell ref="B9:G10"/>
    <mergeCell ref="U10:V10"/>
    <mergeCell ref="H7:S10"/>
    <mergeCell ref="B74:D77"/>
    <mergeCell ref="E74:X77"/>
    <mergeCell ref="T19:X19"/>
    <mergeCell ref="J18:L18"/>
    <mergeCell ref="R18:W18"/>
    <mergeCell ref="H3:S6"/>
    <mergeCell ref="T3:X4"/>
    <mergeCell ref="J14:L14"/>
    <mergeCell ref="J16:L16"/>
    <mergeCell ref="R14:W14"/>
    <mergeCell ref="R16:W16"/>
    <mergeCell ref="U7:V7"/>
    <mergeCell ref="U8:V8"/>
    <mergeCell ref="U9:V9"/>
  </mergeCells>
  <printOptions horizontalCentered="1"/>
  <pageMargins left="0.39370078740157483" right="0.39370078740157483" top="0.39370078740157483" bottom="0.39370078740157483" header="0.31496062992125984" footer="0.31496062992125984"/>
  <pageSetup paperSize="9" scale="59" orientation="landscape" r:id="rId1"/>
  <headerFooter>
    <oddFooter>&amp;LUnrestricted</oddFooter>
  </headerFooter>
  <customProperties>
    <customPr name="EpmWorksheetKeyString_GUID" r:id="rId2"/>
  </customPropertie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602A3-F351-4B00-8EBA-A4D7619032F6}">
  <sheetPr>
    <tabColor rgb="FF008ECF"/>
    <pageSetUpPr fitToPage="1"/>
  </sheetPr>
  <dimension ref="B1:Z90"/>
  <sheetViews>
    <sheetView showGridLines="0" zoomScale="85" zoomScaleNormal="85" zoomScaleSheetLayoutView="80" workbookViewId="0"/>
  </sheetViews>
  <sheetFormatPr baseColWidth="10" defaultColWidth="9.140625" defaultRowHeight="15" x14ac:dyDescent="0.25"/>
  <cols>
    <col min="2" max="2" width="2.7109375" customWidth="1"/>
    <col min="3" max="3" width="8.42578125" customWidth="1"/>
    <col min="4" max="4" width="17" customWidth="1"/>
    <col min="6" max="6" width="7.140625" customWidth="1"/>
    <col min="7" max="7" width="2.7109375" customWidth="1"/>
    <col min="8" max="8" width="1.7109375" customWidth="1"/>
    <col min="9" max="9" width="10.7109375" customWidth="1"/>
    <col min="10" max="10" width="19.7109375" bestFit="1" customWidth="1"/>
    <col min="12" max="12" width="17.7109375" customWidth="1"/>
    <col min="13" max="13" width="4.7109375" customWidth="1"/>
    <col min="14" max="14" width="12.7109375" customWidth="1"/>
    <col min="15" max="15" width="15.7109375" customWidth="1"/>
    <col min="16" max="16" width="9.85546875" bestFit="1" customWidth="1"/>
    <col min="17" max="17" width="4.7109375" customWidth="1"/>
    <col min="18" max="18" width="5.140625" customWidth="1"/>
    <col min="19" max="19" width="2.7109375" customWidth="1"/>
    <col min="20" max="20" width="11" bestFit="1" customWidth="1"/>
    <col min="21" max="21" width="5.140625" customWidth="1"/>
    <col min="22" max="22" width="4.7109375" customWidth="1"/>
    <col min="23" max="23" width="6.7109375" customWidth="1"/>
    <col min="24" max="24" width="2.7109375" customWidth="1"/>
    <col min="26" max="26" width="76.28515625" customWidth="1"/>
  </cols>
  <sheetData>
    <row r="1" spans="2:26" x14ac:dyDescent="0.25">
      <c r="C1" s="51"/>
    </row>
    <row r="2" spans="2:26" ht="15.75" thickBot="1" x14ac:dyDescent="0.3">
      <c r="X2" s="51"/>
    </row>
    <row r="3" spans="2:26" ht="15" customHeight="1" x14ac:dyDescent="0.25">
      <c r="B3" s="294"/>
      <c r="C3" s="295"/>
      <c r="D3" s="295"/>
      <c r="E3" s="295"/>
      <c r="F3" s="295"/>
      <c r="G3" s="296"/>
      <c r="H3" s="621" t="s">
        <v>118</v>
      </c>
      <c r="I3" s="622"/>
      <c r="J3" s="622"/>
      <c r="K3" s="622"/>
      <c r="L3" s="622"/>
      <c r="M3" s="622"/>
      <c r="N3" s="622"/>
      <c r="O3" s="622"/>
      <c r="P3" s="622"/>
      <c r="Q3" s="622"/>
      <c r="R3" s="622"/>
      <c r="S3" s="627"/>
      <c r="T3" s="621" t="s">
        <v>1490</v>
      </c>
      <c r="U3" s="622"/>
      <c r="V3" s="622"/>
      <c r="W3" s="622"/>
      <c r="X3" s="627"/>
    </row>
    <row r="4" spans="2:26" ht="15" customHeight="1" thickBot="1" x14ac:dyDescent="0.3">
      <c r="B4" s="297"/>
      <c r="C4" s="1"/>
      <c r="D4" s="1"/>
      <c r="E4" s="1"/>
      <c r="F4" s="1"/>
      <c r="G4" s="298"/>
      <c r="H4" s="623"/>
      <c r="I4" s="624"/>
      <c r="J4" s="624"/>
      <c r="K4" s="624"/>
      <c r="L4" s="624"/>
      <c r="M4" s="624"/>
      <c r="N4" s="624"/>
      <c r="O4" s="624"/>
      <c r="P4" s="624"/>
      <c r="Q4" s="624"/>
      <c r="R4" s="624"/>
      <c r="S4" s="693"/>
      <c r="T4" s="623"/>
      <c r="U4" s="624"/>
      <c r="V4" s="624"/>
      <c r="W4" s="624"/>
      <c r="X4" s="693"/>
    </row>
    <row r="5" spans="2:26" ht="15" customHeight="1" thickBot="1" x14ac:dyDescent="0.3">
      <c r="B5" s="297"/>
      <c r="C5" s="1"/>
      <c r="D5" s="1"/>
      <c r="E5" s="1"/>
      <c r="F5" s="1"/>
      <c r="G5" s="298"/>
      <c r="H5" s="623"/>
      <c r="I5" s="624"/>
      <c r="J5" s="624"/>
      <c r="K5" s="624"/>
      <c r="L5" s="624"/>
      <c r="M5" s="624"/>
      <c r="N5" s="624"/>
      <c r="O5" s="624"/>
      <c r="P5" s="624"/>
      <c r="Q5" s="624"/>
      <c r="R5" s="624"/>
      <c r="S5" s="693"/>
      <c r="T5" s="190"/>
      <c r="U5" s="189" t="s">
        <v>0</v>
      </c>
      <c r="V5" s="206" t="s">
        <v>1491</v>
      </c>
      <c r="W5" s="143"/>
      <c r="X5" s="203"/>
      <c r="Y5" s="53"/>
    </row>
    <row r="6" spans="2:26" ht="15" customHeight="1" thickBot="1" x14ac:dyDescent="0.3">
      <c r="B6" s="297"/>
      <c r="C6" s="1"/>
      <c r="D6" s="1"/>
      <c r="E6" s="1"/>
      <c r="F6" s="1"/>
      <c r="G6" s="298"/>
      <c r="H6" s="623"/>
      <c r="I6" s="624"/>
      <c r="J6" s="624"/>
      <c r="K6" s="624"/>
      <c r="L6" s="624"/>
      <c r="M6" s="624"/>
      <c r="N6" s="624"/>
      <c r="O6" s="624"/>
      <c r="P6" s="624"/>
      <c r="Q6" s="624"/>
      <c r="R6" s="624"/>
      <c r="S6" s="693"/>
      <c r="T6" s="200"/>
      <c r="U6" s="540" t="s">
        <v>2</v>
      </c>
      <c r="V6" s="207" t="s">
        <v>3</v>
      </c>
      <c r="W6" s="135"/>
      <c r="X6" s="539"/>
      <c r="Y6" s="53"/>
    </row>
    <row r="7" spans="2:26" ht="15" customHeight="1" x14ac:dyDescent="0.25">
      <c r="B7" s="297"/>
      <c r="C7" s="1"/>
      <c r="D7" s="1"/>
      <c r="E7" s="1"/>
      <c r="F7" s="1"/>
      <c r="G7" s="1"/>
      <c r="H7" s="771" t="s">
        <v>1492</v>
      </c>
      <c r="I7" s="772"/>
      <c r="J7" s="772"/>
      <c r="K7" s="772"/>
      <c r="L7" s="772"/>
      <c r="M7" s="772"/>
      <c r="N7" s="772"/>
      <c r="O7" s="772"/>
      <c r="P7" s="772"/>
      <c r="Q7" s="772"/>
      <c r="R7" s="772"/>
      <c r="S7" s="773"/>
      <c r="T7" s="199"/>
      <c r="U7" s="743" t="s">
        <v>169</v>
      </c>
      <c r="V7" s="743"/>
      <c r="W7" s="191"/>
      <c r="X7" s="192"/>
      <c r="Y7" s="53"/>
      <c r="Z7" s="786"/>
    </row>
    <row r="8" spans="2:26" ht="15" customHeight="1" x14ac:dyDescent="0.25">
      <c r="B8" s="297"/>
      <c r="C8" s="1"/>
      <c r="D8" s="1"/>
      <c r="E8" s="1"/>
      <c r="F8" s="1"/>
      <c r="G8" s="1"/>
      <c r="H8" s="774"/>
      <c r="I8" s="775"/>
      <c r="J8" s="775"/>
      <c r="K8" s="775"/>
      <c r="L8" s="775"/>
      <c r="M8" s="775"/>
      <c r="N8" s="775"/>
      <c r="O8" s="775"/>
      <c r="P8" s="775"/>
      <c r="Q8" s="775"/>
      <c r="R8" s="775"/>
      <c r="S8" s="776"/>
      <c r="T8" s="193"/>
      <c r="U8" s="780" t="s">
        <v>177</v>
      </c>
      <c r="V8" s="781"/>
      <c r="W8" s="194"/>
      <c r="X8" s="195"/>
      <c r="Z8" s="787"/>
    </row>
    <row r="9" spans="2:26" ht="15" customHeight="1" x14ac:dyDescent="0.25">
      <c r="B9" s="612"/>
      <c r="C9" s="613"/>
      <c r="D9" s="613"/>
      <c r="E9" s="613"/>
      <c r="F9" s="613"/>
      <c r="G9" s="614"/>
      <c r="H9" s="774"/>
      <c r="I9" s="775"/>
      <c r="J9" s="775"/>
      <c r="K9" s="775"/>
      <c r="L9" s="775"/>
      <c r="M9" s="775"/>
      <c r="N9" s="775"/>
      <c r="O9" s="775"/>
      <c r="P9" s="775"/>
      <c r="Q9" s="775"/>
      <c r="R9" s="775"/>
      <c r="S9" s="776"/>
      <c r="T9" s="193"/>
      <c r="U9" s="782" t="s">
        <v>179</v>
      </c>
      <c r="V9" s="783"/>
      <c r="W9" s="194"/>
      <c r="X9" s="195"/>
      <c r="Z9" s="787"/>
    </row>
    <row r="10" spans="2:26" ht="15" customHeight="1" thickBot="1" x14ac:dyDescent="0.3">
      <c r="B10" s="615"/>
      <c r="C10" s="616"/>
      <c r="D10" s="616"/>
      <c r="E10" s="616"/>
      <c r="F10" s="616"/>
      <c r="G10" s="617"/>
      <c r="H10" s="777"/>
      <c r="I10" s="778"/>
      <c r="J10" s="778"/>
      <c r="K10" s="778"/>
      <c r="L10" s="778"/>
      <c r="M10" s="778"/>
      <c r="N10" s="778"/>
      <c r="O10" s="778"/>
      <c r="P10" s="778"/>
      <c r="Q10" s="778"/>
      <c r="R10" s="778"/>
      <c r="S10" s="779"/>
      <c r="T10" s="196"/>
      <c r="U10" s="784" t="s">
        <v>181</v>
      </c>
      <c r="V10" s="785"/>
      <c r="W10" s="197"/>
      <c r="X10" s="198"/>
      <c r="Z10" s="787"/>
    </row>
    <row r="11" spans="2:26" x14ac:dyDescent="0.25">
      <c r="B11" s="11"/>
      <c r="C11" s="10"/>
      <c r="D11" s="10"/>
      <c r="E11" s="10"/>
      <c r="F11" s="10"/>
      <c r="G11" s="10"/>
      <c r="H11" s="534"/>
      <c r="I11" s="534"/>
      <c r="J11" s="534"/>
      <c r="K11" s="534"/>
      <c r="L11" s="534"/>
      <c r="M11" s="534"/>
      <c r="N11" s="534"/>
      <c r="O11" s="534"/>
      <c r="P11" s="534"/>
      <c r="Q11" s="534"/>
      <c r="R11" s="534"/>
      <c r="S11" s="534"/>
      <c r="T11" s="534"/>
      <c r="U11" s="534"/>
      <c r="V11" s="534"/>
      <c r="W11" s="534"/>
      <c r="X11" s="534"/>
    </row>
    <row r="12" spans="2:26" x14ac:dyDescent="0.25">
      <c r="C12" s="538" t="s">
        <v>1493</v>
      </c>
      <c r="D12" s="10"/>
      <c r="E12" s="10"/>
      <c r="F12" s="10"/>
      <c r="G12" s="10"/>
      <c r="H12" s="534"/>
      <c r="I12" s="534"/>
      <c r="J12" s="534"/>
      <c r="K12" s="534"/>
      <c r="L12" s="534"/>
      <c r="M12" s="534"/>
      <c r="N12" s="534"/>
      <c r="O12" s="534"/>
      <c r="P12" s="534"/>
      <c r="Q12" s="534"/>
      <c r="R12" s="534"/>
      <c r="S12" s="534"/>
      <c r="T12" s="534"/>
      <c r="U12" s="534"/>
      <c r="V12" s="534"/>
      <c r="W12" s="534"/>
      <c r="X12" s="534"/>
    </row>
    <row r="13" spans="2:26" ht="8.1" customHeight="1" x14ac:dyDescent="0.25">
      <c r="B13" s="11"/>
      <c r="C13" s="10"/>
      <c r="D13" s="10"/>
      <c r="E13" s="10"/>
      <c r="F13" s="10"/>
      <c r="G13" s="10"/>
      <c r="H13" s="534"/>
      <c r="I13" s="534"/>
      <c r="J13" s="534"/>
      <c r="K13" s="534"/>
      <c r="L13" s="534"/>
      <c r="M13" s="534"/>
      <c r="N13" s="534"/>
      <c r="O13" s="534"/>
      <c r="P13" s="534"/>
      <c r="Q13" s="534"/>
      <c r="R13" s="534"/>
      <c r="S13" s="534"/>
      <c r="T13" s="534"/>
      <c r="U13" s="534"/>
      <c r="V13" s="534"/>
      <c r="W13" s="534"/>
      <c r="X13" s="534"/>
    </row>
    <row r="14" spans="2:26" x14ac:dyDescent="0.25">
      <c r="C14" s="537" t="s">
        <v>877</v>
      </c>
      <c r="D14" s="51"/>
      <c r="E14" s="51"/>
      <c r="F14" s="51"/>
      <c r="G14" s="51"/>
      <c r="J14" s="788"/>
      <c r="K14" s="789"/>
      <c r="L14" s="790"/>
      <c r="M14" s="534"/>
      <c r="N14" s="534"/>
      <c r="O14" s="534"/>
      <c r="P14" s="534"/>
      <c r="Q14" s="534"/>
      <c r="R14" s="534"/>
      <c r="S14" s="534"/>
      <c r="T14" s="534"/>
      <c r="U14" s="534"/>
      <c r="V14" s="534"/>
      <c r="W14" s="534"/>
      <c r="X14" s="534"/>
    </row>
    <row r="15" spans="2:26" ht="8.1" customHeight="1" x14ac:dyDescent="0.25">
      <c r="B15" s="11"/>
      <c r="C15" s="11"/>
      <c r="D15" s="11"/>
      <c r="E15" s="11"/>
      <c r="F15" s="11"/>
      <c r="H15" s="51"/>
      <c r="I15" s="51"/>
      <c r="J15" s="534"/>
      <c r="K15" s="534"/>
      <c r="L15" s="534"/>
      <c r="M15" s="534"/>
      <c r="N15" s="534"/>
      <c r="O15" s="534"/>
      <c r="P15" s="534"/>
      <c r="Q15" s="534"/>
      <c r="R15" s="534"/>
      <c r="S15" s="534"/>
      <c r="T15" s="534"/>
      <c r="U15" s="534"/>
      <c r="V15" s="534"/>
      <c r="W15" s="534"/>
      <c r="X15" s="534"/>
    </row>
    <row r="16" spans="2:26" x14ac:dyDescent="0.25">
      <c r="C16" s="51"/>
      <c r="D16" s="11"/>
      <c r="E16" s="110"/>
      <c r="F16" s="110"/>
      <c r="G16" s="110"/>
      <c r="H16" s="534"/>
      <c r="I16" s="534"/>
      <c r="J16" s="534"/>
      <c r="K16" s="534"/>
      <c r="L16" s="534"/>
      <c r="M16" s="534"/>
      <c r="N16" s="534"/>
      <c r="O16" s="534"/>
      <c r="P16" s="534"/>
      <c r="Q16" s="534"/>
      <c r="R16" s="534"/>
      <c r="S16" s="534"/>
      <c r="T16" s="534"/>
      <c r="U16" s="534"/>
      <c r="V16" s="534"/>
      <c r="W16" s="534"/>
      <c r="X16" s="534"/>
    </row>
    <row r="17" spans="2:26" ht="8.1" customHeight="1" x14ac:dyDescent="0.25">
      <c r="C17" s="51"/>
      <c r="D17" s="11"/>
      <c r="E17" s="11"/>
      <c r="G17" s="113"/>
      <c r="H17" s="51"/>
      <c r="I17" s="51"/>
      <c r="J17" s="535"/>
      <c r="K17" s="535"/>
      <c r="L17" s="535"/>
      <c r="M17" s="534"/>
      <c r="N17" s="534"/>
      <c r="O17" s="535"/>
      <c r="P17" s="534"/>
      <c r="Q17" s="536"/>
      <c r="R17" s="535"/>
      <c r="S17" s="535"/>
      <c r="T17" s="535"/>
      <c r="U17" s="535"/>
      <c r="V17" s="535"/>
      <c r="W17" s="535"/>
      <c r="X17" s="534"/>
    </row>
    <row r="18" spans="2:26" x14ac:dyDescent="0.25">
      <c r="B18" s="11"/>
      <c r="C18" s="51"/>
      <c r="D18" s="11"/>
      <c r="E18" s="110"/>
      <c r="F18" s="110"/>
      <c r="G18" s="110"/>
      <c r="H18" s="534"/>
      <c r="I18" s="534"/>
      <c r="J18" s="534"/>
      <c r="K18" s="534"/>
      <c r="L18" s="534"/>
      <c r="M18" s="534"/>
      <c r="N18" s="534"/>
      <c r="O18" s="534"/>
      <c r="P18" s="534"/>
      <c r="Q18" s="534"/>
      <c r="R18" s="534"/>
      <c r="S18" s="534"/>
      <c r="T18" s="534"/>
      <c r="U18" s="534"/>
      <c r="V18" s="534"/>
      <c r="W18" s="534"/>
      <c r="X18" s="534"/>
    </row>
    <row r="19" spans="2:26" ht="15.75" thickBot="1" x14ac:dyDescent="0.3">
      <c r="B19" s="1"/>
      <c r="C19" s="1"/>
      <c r="D19" s="1"/>
      <c r="E19" s="1"/>
      <c r="F19" s="1"/>
      <c r="G19" s="1"/>
      <c r="H19" s="51"/>
      <c r="I19" s="51"/>
      <c r="J19" s="51"/>
      <c r="K19" s="51"/>
      <c r="L19" s="51"/>
      <c r="M19" s="51"/>
      <c r="N19" s="51"/>
      <c r="O19" s="51"/>
      <c r="P19" s="51"/>
      <c r="Q19" s="51"/>
      <c r="R19" s="51"/>
      <c r="S19" s="51"/>
      <c r="T19" s="791"/>
      <c r="U19" s="791"/>
      <c r="V19" s="791"/>
      <c r="W19" s="791"/>
      <c r="X19" s="791"/>
    </row>
    <row r="20" spans="2:26" x14ac:dyDescent="0.25">
      <c r="B20" s="39"/>
      <c r="C20" s="40"/>
      <c r="D20" s="40"/>
      <c r="E20" s="40"/>
      <c r="F20" s="40"/>
      <c r="G20" s="40"/>
      <c r="H20" s="40"/>
      <c r="I20" s="40"/>
      <c r="J20" s="40"/>
      <c r="K20" s="40"/>
      <c r="L20" s="40"/>
      <c r="M20" s="40"/>
      <c r="N20" s="40"/>
      <c r="O20" s="40"/>
      <c r="P20" s="40"/>
      <c r="Q20" s="40"/>
      <c r="R20" s="40"/>
      <c r="S20" s="40"/>
      <c r="T20" s="40"/>
      <c r="U20" s="40"/>
      <c r="V20" s="40"/>
      <c r="W20" s="40"/>
      <c r="X20" s="4"/>
    </row>
    <row r="21" spans="2:26" x14ac:dyDescent="0.25">
      <c r="B21" s="36"/>
      <c r="C21" s="517" t="s">
        <v>1494</v>
      </c>
      <c r="D21" s="515"/>
      <c r="E21" s="515"/>
      <c r="F21" s="515"/>
      <c r="G21" s="515"/>
      <c r="H21" s="515"/>
      <c r="I21" s="515"/>
      <c r="J21" s="515"/>
      <c r="K21" s="515"/>
      <c r="L21" s="515"/>
      <c r="M21" s="515"/>
      <c r="N21" s="515"/>
      <c r="O21" s="531"/>
      <c r="P21" s="515"/>
      <c r="Q21" s="515"/>
      <c r="R21" s="515"/>
      <c r="S21" s="515"/>
      <c r="T21" s="515"/>
      <c r="U21" s="515"/>
      <c r="V21" s="515"/>
      <c r="W21" s="514"/>
      <c r="X21" s="41"/>
    </row>
    <row r="22" spans="2:26" ht="8.1" customHeight="1" x14ac:dyDescent="0.25">
      <c r="B22" s="36"/>
      <c r="C22" s="513"/>
      <c r="D22" s="51"/>
      <c r="E22" s="51"/>
      <c r="F22" s="51"/>
      <c r="G22" s="51"/>
      <c r="H22" s="51"/>
      <c r="I22" s="51"/>
      <c r="J22" s="51"/>
      <c r="K22" s="51"/>
      <c r="L22" s="51"/>
      <c r="M22" s="51"/>
      <c r="N22" s="51"/>
      <c r="O22" s="51"/>
      <c r="P22" s="51"/>
      <c r="Q22" s="51"/>
      <c r="R22" s="51"/>
      <c r="S22" s="51"/>
      <c r="T22" s="51"/>
      <c r="U22" s="51"/>
      <c r="V22" s="51"/>
      <c r="W22" s="509"/>
      <c r="X22" s="41"/>
    </row>
    <row r="23" spans="2:26" x14ac:dyDescent="0.25">
      <c r="B23" s="36"/>
      <c r="C23" s="513" t="s">
        <v>1495</v>
      </c>
      <c r="D23" s="51"/>
      <c r="E23" s="51"/>
      <c r="F23" s="51"/>
      <c r="G23" s="51"/>
      <c r="H23" s="51"/>
      <c r="I23" s="51"/>
      <c r="J23" s="530"/>
      <c r="K23" s="51"/>
      <c r="L23" s="526"/>
      <c r="M23" s="51"/>
      <c r="N23" s="51"/>
      <c r="O23" s="51"/>
      <c r="P23" s="51"/>
      <c r="Q23" s="51"/>
      <c r="R23" s="51"/>
      <c r="S23" s="51"/>
      <c r="T23" s="533"/>
      <c r="U23" s="533"/>
      <c r="V23" s="533"/>
      <c r="W23" s="509"/>
      <c r="X23" s="41"/>
    </row>
    <row r="24" spans="2:26" ht="8.1" customHeight="1" x14ac:dyDescent="0.25">
      <c r="B24" s="36"/>
      <c r="C24" s="513"/>
      <c r="D24" s="51"/>
      <c r="E24" s="51"/>
      <c r="F24" s="51"/>
      <c r="G24" s="51"/>
      <c r="H24" s="51"/>
      <c r="I24" s="51"/>
      <c r="J24" s="521"/>
      <c r="K24" s="51"/>
      <c r="L24" s="526"/>
      <c r="M24" s="51"/>
      <c r="N24" s="51"/>
      <c r="O24" s="51"/>
      <c r="P24" s="51"/>
      <c r="Q24" s="51"/>
      <c r="R24" s="51"/>
      <c r="S24" s="51"/>
      <c r="T24" s="51"/>
      <c r="U24" s="51"/>
      <c r="V24" s="51"/>
      <c r="W24" s="509"/>
      <c r="X24" s="41"/>
    </row>
    <row r="25" spans="2:26" x14ac:dyDescent="0.25">
      <c r="B25" s="36"/>
      <c r="C25" s="513" t="s">
        <v>1496</v>
      </c>
      <c r="D25" s="51"/>
      <c r="E25" s="51"/>
      <c r="F25" s="51"/>
      <c r="G25" s="51"/>
      <c r="H25" s="51"/>
      <c r="I25" s="51"/>
      <c r="J25" s="530"/>
      <c r="K25" s="51"/>
      <c r="L25" s="527"/>
      <c r="M25" s="51"/>
      <c r="N25" s="51"/>
      <c r="O25" s="51"/>
      <c r="P25" s="51"/>
      <c r="Q25" s="51"/>
      <c r="R25" s="51"/>
      <c r="S25" s="51"/>
      <c r="T25" s="51"/>
      <c r="U25" s="51"/>
      <c r="V25" s="51"/>
      <c r="W25" s="509"/>
      <c r="X25" s="41"/>
    </row>
    <row r="26" spans="2:26" ht="8.1" customHeight="1" x14ac:dyDescent="0.25">
      <c r="B26" s="36"/>
      <c r="C26" s="513"/>
      <c r="D26" s="51"/>
      <c r="E26" s="51"/>
      <c r="F26" s="51"/>
      <c r="G26" s="51"/>
      <c r="H26" s="51"/>
      <c r="I26" s="51"/>
      <c r="J26" s="525"/>
      <c r="K26" s="51"/>
      <c r="L26" s="526"/>
      <c r="M26" s="51"/>
      <c r="N26" s="51"/>
      <c r="O26" s="51"/>
      <c r="P26" s="51"/>
      <c r="Q26" s="51"/>
      <c r="R26" s="51"/>
      <c r="S26" s="51"/>
      <c r="T26" s="51"/>
      <c r="U26" s="51"/>
      <c r="V26" s="51"/>
      <c r="W26" s="509"/>
      <c r="X26" s="41"/>
    </row>
    <row r="27" spans="2:26" x14ac:dyDescent="0.25">
      <c r="B27" s="36"/>
      <c r="C27" s="513" t="s">
        <v>941</v>
      </c>
      <c r="D27" s="51"/>
      <c r="E27" s="51"/>
      <c r="F27" s="51"/>
      <c r="G27" s="51"/>
      <c r="H27" s="51"/>
      <c r="I27" s="51"/>
      <c r="J27" s="529"/>
      <c r="K27" s="51"/>
      <c r="L27" s="527"/>
      <c r="M27" s="51"/>
      <c r="N27" s="51"/>
      <c r="O27" s="51"/>
      <c r="P27" s="51"/>
      <c r="Q27" s="51"/>
      <c r="R27" s="51"/>
      <c r="S27" s="51"/>
      <c r="T27" s="51"/>
      <c r="U27" s="51"/>
      <c r="V27" s="51"/>
      <c r="W27" s="509"/>
      <c r="X27" s="41"/>
      <c r="Z27" s="51"/>
    </row>
    <row r="28" spans="2:26" ht="8.1" customHeight="1" x14ac:dyDescent="0.25">
      <c r="B28" s="36"/>
      <c r="C28" s="513"/>
      <c r="D28" s="51"/>
      <c r="E28" s="51"/>
      <c r="F28" s="51"/>
      <c r="G28" s="51"/>
      <c r="H28" s="51"/>
      <c r="I28" s="51"/>
      <c r="J28" s="525"/>
      <c r="K28" s="51"/>
      <c r="L28" s="526"/>
      <c r="M28" s="51"/>
      <c r="N28" s="51"/>
      <c r="O28" s="51"/>
      <c r="P28" s="51"/>
      <c r="Q28" s="51"/>
      <c r="R28" s="51"/>
      <c r="S28" s="51"/>
      <c r="T28" s="51"/>
      <c r="U28" s="51"/>
      <c r="V28" s="51"/>
      <c r="W28" s="509"/>
      <c r="X28" s="41"/>
      <c r="Z28" s="51"/>
    </row>
    <row r="29" spans="2:26" x14ac:dyDescent="0.25">
      <c r="B29" s="36"/>
      <c r="C29" s="513" t="s">
        <v>1497</v>
      </c>
      <c r="D29" s="51"/>
      <c r="E29" s="51"/>
      <c r="F29" s="51"/>
      <c r="G29" s="51"/>
      <c r="H29" s="51"/>
      <c r="I29" s="51"/>
      <c r="J29" s="529"/>
      <c r="K29" s="510" t="s">
        <v>1498</v>
      </c>
      <c r="L29" s="527"/>
      <c r="M29" s="51"/>
      <c r="N29" s="51"/>
      <c r="O29" s="51"/>
      <c r="P29" s="51"/>
      <c r="Q29" s="51"/>
      <c r="R29" s="51"/>
      <c r="S29" s="51"/>
      <c r="T29" s="51"/>
      <c r="U29" s="51"/>
      <c r="V29" s="51"/>
      <c r="W29" s="509"/>
      <c r="X29" s="41"/>
      <c r="Z29" s="51"/>
    </row>
    <row r="30" spans="2:26" ht="8.1" customHeight="1" x14ac:dyDescent="0.25">
      <c r="B30" s="36"/>
      <c r="C30" s="513"/>
      <c r="D30" s="51"/>
      <c r="E30" s="51"/>
      <c r="F30" s="51"/>
      <c r="G30" s="51"/>
      <c r="H30" s="51"/>
      <c r="I30" s="51"/>
      <c r="J30" s="525"/>
      <c r="K30" s="51"/>
      <c r="L30" s="526"/>
      <c r="M30" s="51"/>
      <c r="N30" s="51"/>
      <c r="O30" s="51"/>
      <c r="P30" s="51"/>
      <c r="Q30" s="51"/>
      <c r="R30" s="51"/>
      <c r="S30" s="51"/>
      <c r="T30" s="51"/>
      <c r="U30" s="51"/>
      <c r="V30" s="51"/>
      <c r="W30" s="509"/>
      <c r="X30" s="41"/>
    </row>
    <row r="31" spans="2:26" x14ac:dyDescent="0.25">
      <c r="B31" s="36"/>
      <c r="C31" s="513" t="s">
        <v>1499</v>
      </c>
      <c r="D31" s="51"/>
      <c r="E31" s="51"/>
      <c r="F31" s="51"/>
      <c r="G31" s="51"/>
      <c r="H31" s="51"/>
      <c r="I31" s="51"/>
      <c r="J31" s="529"/>
      <c r="K31" s="510" t="s">
        <v>6</v>
      </c>
      <c r="L31" s="527"/>
      <c r="M31" s="51"/>
      <c r="N31" s="51"/>
      <c r="O31" s="51"/>
      <c r="P31" s="51"/>
      <c r="Q31" s="51"/>
      <c r="R31" s="51"/>
      <c r="S31" s="51"/>
      <c r="T31" s="51"/>
      <c r="U31" s="51"/>
      <c r="V31" s="51"/>
      <c r="W31" s="509"/>
      <c r="X31" s="41"/>
      <c r="Y31" s="51"/>
    </row>
    <row r="32" spans="2:26" ht="8.1" customHeight="1" x14ac:dyDescent="0.25">
      <c r="B32" s="36"/>
      <c r="C32" s="513"/>
      <c r="D32" s="51"/>
      <c r="E32" s="51"/>
      <c r="F32" s="51"/>
      <c r="G32" s="51"/>
      <c r="H32" s="51"/>
      <c r="I32" s="51"/>
      <c r="J32" s="525"/>
      <c r="K32" s="51"/>
      <c r="L32" s="526"/>
      <c r="M32" s="51"/>
      <c r="N32" s="51"/>
      <c r="O32" s="51"/>
      <c r="P32" s="51"/>
      <c r="Q32" s="51"/>
      <c r="R32" s="51"/>
      <c r="S32" s="51"/>
      <c r="T32" s="51"/>
      <c r="U32" s="51"/>
      <c r="V32" s="51"/>
      <c r="W32" s="509"/>
      <c r="X32" s="41"/>
    </row>
    <row r="33" spans="2:26" x14ac:dyDescent="0.25">
      <c r="B33" s="36"/>
      <c r="C33" s="513" t="s">
        <v>1500</v>
      </c>
      <c r="D33" s="51"/>
      <c r="E33" s="51"/>
      <c r="F33" s="51"/>
      <c r="G33" s="51"/>
      <c r="H33" s="51"/>
      <c r="I33" s="51"/>
      <c r="J33" s="525"/>
      <c r="K33" s="51"/>
      <c r="L33" s="97">
        <f>J29*(100+J31)/100</f>
        <v>0</v>
      </c>
      <c r="M33" s="510" t="s">
        <v>1498</v>
      </c>
      <c r="N33" s="51"/>
      <c r="O33" s="51"/>
      <c r="P33" s="51"/>
      <c r="Q33" s="51"/>
      <c r="R33" s="51"/>
      <c r="S33" s="51"/>
      <c r="T33" s="51"/>
      <c r="U33" s="51"/>
      <c r="V33" s="51"/>
      <c r="W33" s="509"/>
      <c r="X33" s="41"/>
    </row>
    <row r="34" spans="2:26" ht="8.1" customHeight="1" x14ac:dyDescent="0.25">
      <c r="B34" s="36"/>
      <c r="C34" s="513"/>
      <c r="D34" s="51"/>
      <c r="E34" s="51"/>
      <c r="F34" s="51"/>
      <c r="G34" s="51"/>
      <c r="H34" s="51"/>
      <c r="I34" s="51"/>
      <c r="J34" s="525"/>
      <c r="K34" s="51"/>
      <c r="L34" s="90"/>
      <c r="M34" s="51"/>
      <c r="N34" s="51"/>
      <c r="O34" s="51"/>
      <c r="P34" s="51"/>
      <c r="Q34" s="51"/>
      <c r="R34" s="51"/>
      <c r="S34" s="51"/>
      <c r="T34" s="51"/>
      <c r="U34" s="51"/>
      <c r="V34" s="51"/>
      <c r="W34" s="509"/>
      <c r="X34" s="41"/>
    </row>
    <row r="35" spans="2:26" x14ac:dyDescent="0.25">
      <c r="B35" s="36"/>
      <c r="C35" s="513" t="s">
        <v>1501</v>
      </c>
      <c r="D35" s="51"/>
      <c r="E35" s="51"/>
      <c r="F35" s="51"/>
      <c r="G35" s="51"/>
      <c r="H35" s="51"/>
      <c r="I35" s="51"/>
      <c r="J35" s="530"/>
      <c r="K35" s="510" t="s">
        <v>6</v>
      </c>
      <c r="L35" s="523"/>
      <c r="M35" s="51"/>
      <c r="N35" s="51"/>
      <c r="O35" s="51"/>
      <c r="P35" s="51"/>
      <c r="Q35" s="51"/>
      <c r="R35" s="51"/>
      <c r="S35" s="51"/>
      <c r="T35" s="51"/>
      <c r="U35" s="51"/>
      <c r="V35" s="51"/>
      <c r="W35" s="509"/>
      <c r="X35" s="41"/>
    </row>
    <row r="36" spans="2:26" ht="8.1" customHeight="1" x14ac:dyDescent="0.25">
      <c r="B36" s="36"/>
      <c r="C36" s="513"/>
      <c r="D36" s="51"/>
      <c r="E36" s="51"/>
      <c r="F36" s="51"/>
      <c r="G36" s="51"/>
      <c r="H36" s="51"/>
      <c r="I36" s="51"/>
      <c r="J36" s="522"/>
      <c r="K36" s="51"/>
      <c r="L36" s="91"/>
      <c r="M36" s="51"/>
      <c r="N36" s="51"/>
      <c r="O36" s="51"/>
      <c r="P36" s="51"/>
      <c r="Q36" s="51"/>
      <c r="R36" s="51"/>
      <c r="S36" s="51"/>
      <c r="T36" s="51"/>
      <c r="U36" s="51"/>
      <c r="V36" s="51"/>
      <c r="W36" s="509"/>
      <c r="X36" s="41"/>
    </row>
    <row r="37" spans="2:26" ht="15" customHeight="1" x14ac:dyDescent="0.25">
      <c r="B37" s="36"/>
      <c r="C37" s="513" t="s">
        <v>1502</v>
      </c>
      <c r="D37" s="51"/>
      <c r="E37" s="51"/>
      <c r="F37" s="51"/>
      <c r="G37" s="51"/>
      <c r="H37" s="51"/>
      <c r="I37" s="51"/>
      <c r="J37" s="521"/>
      <c r="K37" s="51"/>
      <c r="L37" s="97">
        <f>IF(J35=0,,L33/J35*100)</f>
        <v>0</v>
      </c>
      <c r="M37" s="510" t="s">
        <v>1498</v>
      </c>
      <c r="N37" s="51"/>
      <c r="O37" s="51"/>
      <c r="P37" s="51"/>
      <c r="Q37" s="51"/>
      <c r="R37" s="51"/>
      <c r="S37" s="51"/>
      <c r="T37" s="51"/>
      <c r="U37" s="51"/>
      <c r="V37" s="51"/>
      <c r="W37" s="509"/>
      <c r="X37" s="41"/>
    </row>
    <row r="38" spans="2:26" ht="8.1" customHeight="1" x14ac:dyDescent="0.25">
      <c r="B38" s="36"/>
      <c r="C38" s="507"/>
      <c r="D38" s="506"/>
      <c r="E38" s="506"/>
      <c r="F38" s="506"/>
      <c r="G38" s="506"/>
      <c r="H38" s="506"/>
      <c r="I38" s="506"/>
      <c r="J38" s="519"/>
      <c r="K38" s="506"/>
      <c r="L38" s="92"/>
      <c r="M38" s="506"/>
      <c r="N38" s="506"/>
      <c r="O38" s="506"/>
      <c r="P38" s="506"/>
      <c r="Q38" s="506"/>
      <c r="R38" s="506"/>
      <c r="S38" s="506"/>
      <c r="T38" s="506"/>
      <c r="U38" s="506"/>
      <c r="V38" s="506"/>
      <c r="W38" s="505"/>
      <c r="X38" s="41"/>
      <c r="Y38" s="50"/>
      <c r="Z38" s="51"/>
    </row>
    <row r="39" spans="2:26" ht="8.1" customHeight="1" x14ac:dyDescent="0.25">
      <c r="B39" s="36"/>
      <c r="C39" s="510"/>
      <c r="D39" s="51"/>
      <c r="E39" s="51"/>
      <c r="F39" s="51"/>
      <c r="G39" s="51"/>
      <c r="H39" s="51"/>
      <c r="I39" s="51"/>
      <c r="J39" s="521"/>
      <c r="K39" s="51"/>
      <c r="L39" s="93"/>
      <c r="M39" s="51"/>
      <c r="N39" s="51"/>
      <c r="O39" s="51"/>
      <c r="P39" s="51"/>
      <c r="Q39" s="51"/>
      <c r="R39" s="51"/>
      <c r="S39" s="51"/>
      <c r="T39" s="51"/>
      <c r="U39" s="51"/>
      <c r="V39" s="51"/>
      <c r="W39" s="51"/>
      <c r="X39" s="41"/>
    </row>
    <row r="40" spans="2:26" x14ac:dyDescent="0.25">
      <c r="B40" s="36"/>
      <c r="C40" s="517" t="s">
        <v>1503</v>
      </c>
      <c r="D40" s="515"/>
      <c r="E40" s="515"/>
      <c r="F40" s="515"/>
      <c r="G40" s="515"/>
      <c r="H40" s="515"/>
      <c r="I40" s="515"/>
      <c r="J40" s="532"/>
      <c r="K40" s="515"/>
      <c r="L40" s="532"/>
      <c r="M40" s="515"/>
      <c r="N40" s="515"/>
      <c r="O40" s="531"/>
      <c r="P40" s="515"/>
      <c r="Q40" s="515"/>
      <c r="R40" s="515"/>
      <c r="S40" s="515"/>
      <c r="T40" s="515"/>
      <c r="U40" s="515"/>
      <c r="V40" s="515"/>
      <c r="W40" s="514"/>
      <c r="X40" s="41"/>
    </row>
    <row r="41" spans="2:26" ht="8.1" customHeight="1" x14ac:dyDescent="0.25">
      <c r="B41" s="36"/>
      <c r="C41" s="513"/>
      <c r="D41" s="51"/>
      <c r="E41" s="51"/>
      <c r="F41" s="51"/>
      <c r="G41" s="51"/>
      <c r="H41" s="51"/>
      <c r="I41" s="51"/>
      <c r="J41" s="521"/>
      <c r="K41" s="51"/>
      <c r="L41" s="521"/>
      <c r="M41" s="51"/>
      <c r="N41" s="51"/>
      <c r="O41" s="51"/>
      <c r="P41" s="51"/>
      <c r="Q41" s="51"/>
      <c r="R41" s="51"/>
      <c r="S41" s="51"/>
      <c r="T41" s="51"/>
      <c r="U41" s="51"/>
      <c r="V41" s="51"/>
      <c r="W41" s="509"/>
      <c r="X41" s="41"/>
    </row>
    <row r="42" spans="2:26" x14ac:dyDescent="0.25">
      <c r="B42" s="36"/>
      <c r="C42" s="513" t="s">
        <v>1495</v>
      </c>
      <c r="D42" s="51"/>
      <c r="E42" s="51"/>
      <c r="F42" s="51"/>
      <c r="G42" s="51"/>
      <c r="H42" s="51"/>
      <c r="I42" s="51"/>
      <c r="J42" s="530"/>
      <c r="K42" s="51"/>
      <c r="L42" s="90"/>
      <c r="M42" s="51"/>
      <c r="N42" s="51"/>
      <c r="O42" s="51"/>
      <c r="P42" s="51"/>
      <c r="Q42" s="51"/>
      <c r="R42" s="51"/>
      <c r="S42" s="51"/>
      <c r="T42" s="51"/>
      <c r="U42" s="51"/>
      <c r="V42" s="51"/>
      <c r="W42" s="509"/>
      <c r="X42" s="41"/>
    </row>
    <row r="43" spans="2:26" ht="8.1" customHeight="1" x14ac:dyDescent="0.25">
      <c r="B43" s="36"/>
      <c r="C43" s="513"/>
      <c r="D43" s="51"/>
      <c r="E43" s="51"/>
      <c r="F43" s="51"/>
      <c r="G43" s="51"/>
      <c r="H43" s="51"/>
      <c r="I43" s="51"/>
      <c r="J43" s="521"/>
      <c r="K43" s="51"/>
      <c r="L43" s="90"/>
      <c r="M43" s="51"/>
      <c r="N43" s="51"/>
      <c r="O43" s="51"/>
      <c r="P43" s="51"/>
      <c r="Q43" s="51"/>
      <c r="R43" s="51"/>
      <c r="S43" s="51"/>
      <c r="T43" s="51"/>
      <c r="U43" s="51"/>
      <c r="V43" s="51"/>
      <c r="W43" s="509"/>
      <c r="X43" s="41"/>
    </row>
    <row r="44" spans="2:26" x14ac:dyDescent="0.25">
      <c r="B44" s="36"/>
      <c r="C44" s="513" t="s">
        <v>1496</v>
      </c>
      <c r="D44" s="51"/>
      <c r="E44" s="51"/>
      <c r="F44" s="51"/>
      <c r="G44" s="51"/>
      <c r="H44" s="51"/>
      <c r="I44" s="51"/>
      <c r="J44" s="530"/>
      <c r="K44" s="51"/>
      <c r="L44" s="523"/>
      <c r="M44" s="51"/>
      <c r="N44" s="51"/>
      <c r="O44" s="51"/>
      <c r="P44" s="51"/>
      <c r="Q44" s="51"/>
      <c r="R44" s="51"/>
      <c r="S44" s="51"/>
      <c r="T44" s="51"/>
      <c r="U44" s="51"/>
      <c r="V44" s="51"/>
      <c r="W44" s="509"/>
      <c r="X44" s="41"/>
    </row>
    <row r="45" spans="2:26" ht="8.1" customHeight="1" x14ac:dyDescent="0.25">
      <c r="B45" s="36"/>
      <c r="C45" s="513"/>
      <c r="D45" s="51"/>
      <c r="E45" s="51"/>
      <c r="F45" s="51"/>
      <c r="G45" s="51"/>
      <c r="H45" s="51"/>
      <c r="I45" s="51"/>
      <c r="J45" s="525"/>
      <c r="K45" s="51"/>
      <c r="L45" s="90"/>
      <c r="M45" s="51"/>
      <c r="N45" s="51"/>
      <c r="O45" s="51"/>
      <c r="P45" s="51"/>
      <c r="Q45" s="51"/>
      <c r="R45" s="51"/>
      <c r="S45" s="51"/>
      <c r="T45" s="51"/>
      <c r="U45" s="51"/>
      <c r="V45" s="51"/>
      <c r="W45" s="509"/>
      <c r="X45" s="41"/>
    </row>
    <row r="46" spans="2:26" x14ac:dyDescent="0.25">
      <c r="B46" s="36"/>
      <c r="C46" s="513" t="s">
        <v>941</v>
      </c>
      <c r="D46" s="51"/>
      <c r="E46" s="51"/>
      <c r="F46" s="51"/>
      <c r="G46" s="51"/>
      <c r="H46" s="51"/>
      <c r="I46" s="51"/>
      <c r="J46" s="529"/>
      <c r="K46" s="51"/>
      <c r="L46" s="523"/>
      <c r="M46" s="51"/>
      <c r="N46" s="51"/>
      <c r="O46" s="51"/>
      <c r="P46" s="51"/>
      <c r="Q46" s="51"/>
      <c r="R46" s="51"/>
      <c r="S46" s="51"/>
      <c r="T46" s="51"/>
      <c r="U46" s="51"/>
      <c r="V46" s="51"/>
      <c r="W46" s="509"/>
      <c r="X46" s="41"/>
    </row>
    <row r="47" spans="2:26" ht="8.1" customHeight="1" x14ac:dyDescent="0.25">
      <c r="B47" s="36"/>
      <c r="C47" s="513"/>
      <c r="D47" s="51"/>
      <c r="E47" s="51"/>
      <c r="F47" s="51"/>
      <c r="G47" s="51"/>
      <c r="H47" s="51"/>
      <c r="I47" s="51"/>
      <c r="J47" s="525"/>
      <c r="K47" s="51"/>
      <c r="L47" s="90"/>
      <c r="M47" s="51"/>
      <c r="N47" s="51"/>
      <c r="O47" s="51"/>
      <c r="P47" s="51"/>
      <c r="Q47" s="51"/>
      <c r="R47" s="51"/>
      <c r="S47" s="51"/>
      <c r="T47" s="51"/>
      <c r="U47" s="51"/>
      <c r="V47" s="51"/>
      <c r="W47" s="509"/>
      <c r="X47" s="41"/>
    </row>
    <row r="48" spans="2:26" x14ac:dyDescent="0.25">
      <c r="B48" s="36"/>
      <c r="C48" s="513" t="s">
        <v>1497</v>
      </c>
      <c r="D48" s="51"/>
      <c r="E48" s="51"/>
      <c r="F48" s="51"/>
      <c r="G48" s="51"/>
      <c r="H48" s="51"/>
      <c r="I48" s="51"/>
      <c r="J48" s="529"/>
      <c r="K48" s="510" t="s">
        <v>1498</v>
      </c>
      <c r="L48" s="523"/>
      <c r="M48" s="51"/>
      <c r="N48" s="51"/>
      <c r="O48" s="51"/>
      <c r="P48" s="51"/>
      <c r="Q48" s="51"/>
      <c r="R48" s="51"/>
      <c r="S48" s="51"/>
      <c r="T48" s="51"/>
      <c r="U48" s="51"/>
      <c r="V48" s="51"/>
      <c r="W48" s="509"/>
      <c r="X48" s="41"/>
    </row>
    <row r="49" spans="2:26" ht="8.1" customHeight="1" x14ac:dyDescent="0.25">
      <c r="B49" s="36"/>
      <c r="C49" s="513"/>
      <c r="D49" s="51"/>
      <c r="E49" s="51"/>
      <c r="F49" s="51"/>
      <c r="G49" s="51"/>
      <c r="H49" s="51"/>
      <c r="I49" s="51"/>
      <c r="J49" s="525"/>
      <c r="K49" s="510"/>
      <c r="L49" s="90"/>
      <c r="M49" s="51"/>
      <c r="N49" s="51"/>
      <c r="O49" s="51"/>
      <c r="P49" s="51"/>
      <c r="Q49" s="51"/>
      <c r="R49" s="51"/>
      <c r="S49" s="51"/>
      <c r="T49" s="51"/>
      <c r="U49" s="51"/>
      <c r="V49" s="51"/>
      <c r="W49" s="509"/>
      <c r="X49" s="41"/>
    </row>
    <row r="50" spans="2:26" x14ac:dyDescent="0.25">
      <c r="B50" s="36"/>
      <c r="C50" s="513" t="s">
        <v>1499</v>
      </c>
      <c r="D50" s="51"/>
      <c r="E50" s="51"/>
      <c r="F50" s="51"/>
      <c r="G50" s="51"/>
      <c r="H50" s="51"/>
      <c r="I50" s="51"/>
      <c r="J50" s="528">
        <f>J31</f>
        <v>0</v>
      </c>
      <c r="K50" s="510" t="s">
        <v>6</v>
      </c>
      <c r="L50" s="523"/>
      <c r="M50" s="51"/>
      <c r="N50" s="51"/>
      <c r="O50" s="51"/>
      <c r="P50" s="51"/>
      <c r="Q50" s="51"/>
      <c r="R50" s="51"/>
      <c r="S50" s="51"/>
      <c r="T50" s="51"/>
      <c r="U50" s="51"/>
      <c r="V50" s="51"/>
      <c r="W50" s="509"/>
      <c r="X50" s="41"/>
      <c r="Y50" s="51"/>
    </row>
    <row r="51" spans="2:26" ht="8.1" customHeight="1" x14ac:dyDescent="0.25">
      <c r="B51" s="36"/>
      <c r="C51" s="513"/>
      <c r="D51" s="51"/>
      <c r="E51" s="51"/>
      <c r="F51" s="51"/>
      <c r="G51" s="51"/>
      <c r="H51" s="51"/>
      <c r="I51" s="51"/>
      <c r="J51" s="525"/>
      <c r="K51" s="510"/>
      <c r="L51" s="90"/>
      <c r="M51" s="51"/>
      <c r="N51" s="51"/>
      <c r="O51" s="51"/>
      <c r="P51" s="51"/>
      <c r="Q51" s="51"/>
      <c r="R51" s="51"/>
      <c r="S51" s="51"/>
      <c r="T51" s="51"/>
      <c r="U51" s="51"/>
      <c r="V51" s="51"/>
      <c r="W51" s="509"/>
      <c r="X51" s="41"/>
    </row>
    <row r="52" spans="2:26" x14ac:dyDescent="0.25">
      <c r="B52" s="36"/>
      <c r="C52" s="513" t="s">
        <v>1500</v>
      </c>
      <c r="D52" s="51"/>
      <c r="E52" s="51"/>
      <c r="F52" s="51"/>
      <c r="G52" s="51"/>
      <c r="H52" s="51"/>
      <c r="I52" s="51"/>
      <c r="J52" s="525"/>
      <c r="K52" s="510"/>
      <c r="L52" s="97">
        <f>J48*(100+J50)/100</f>
        <v>0</v>
      </c>
      <c r="M52" s="510" t="s">
        <v>1498</v>
      </c>
      <c r="N52" s="51"/>
      <c r="O52" s="51"/>
      <c r="P52" s="51"/>
      <c r="Q52" s="51"/>
      <c r="R52" s="51"/>
      <c r="S52" s="51"/>
      <c r="T52" s="51"/>
      <c r="U52" s="51"/>
      <c r="V52" s="51"/>
      <c r="W52" s="509"/>
      <c r="X52" s="41"/>
    </row>
    <row r="53" spans="2:26" ht="8.1" customHeight="1" x14ac:dyDescent="0.25">
      <c r="B53" s="36"/>
      <c r="C53" s="513"/>
      <c r="D53" s="51"/>
      <c r="E53" s="51"/>
      <c r="F53" s="51"/>
      <c r="G53" s="51"/>
      <c r="H53" s="51"/>
      <c r="I53" s="51"/>
      <c r="J53" s="525"/>
      <c r="K53" s="510"/>
      <c r="L53" s="90"/>
      <c r="M53" s="51"/>
      <c r="N53" s="51"/>
      <c r="O53" s="51"/>
      <c r="P53" s="51"/>
      <c r="Q53" s="51"/>
      <c r="R53" s="51"/>
      <c r="S53" s="51"/>
      <c r="T53" s="51"/>
      <c r="U53" s="51"/>
      <c r="V53" s="51"/>
      <c r="W53" s="509"/>
      <c r="X53" s="41"/>
    </row>
    <row r="54" spans="2:26" x14ac:dyDescent="0.25">
      <c r="B54" s="36"/>
      <c r="C54" s="513" t="s">
        <v>1501</v>
      </c>
      <c r="D54" s="51"/>
      <c r="E54" s="51"/>
      <c r="F54" s="51"/>
      <c r="G54" s="51"/>
      <c r="H54" s="51"/>
      <c r="I54" s="51"/>
      <c r="J54" s="524">
        <f>J35</f>
        <v>0</v>
      </c>
      <c r="K54" s="510" t="s">
        <v>6</v>
      </c>
      <c r="L54" s="523"/>
      <c r="M54" s="51"/>
      <c r="N54" s="51"/>
      <c r="O54" s="51"/>
      <c r="P54" s="51"/>
      <c r="Q54" s="51"/>
      <c r="R54" s="51"/>
      <c r="S54" s="51"/>
      <c r="T54" s="51"/>
      <c r="U54" s="51"/>
      <c r="V54" s="51"/>
      <c r="W54" s="509"/>
      <c r="X54" s="41"/>
    </row>
    <row r="55" spans="2:26" ht="8.1" customHeight="1" x14ac:dyDescent="0.25">
      <c r="B55" s="36"/>
      <c r="C55" s="513"/>
      <c r="D55" s="51"/>
      <c r="E55" s="51"/>
      <c r="F55" s="51"/>
      <c r="G55" s="51"/>
      <c r="H55" s="51"/>
      <c r="I55" s="51"/>
      <c r="J55" s="522"/>
      <c r="K55" s="51"/>
      <c r="L55" s="91"/>
      <c r="M55" s="51"/>
      <c r="N55" s="51"/>
      <c r="O55" s="51"/>
      <c r="P55" s="51"/>
      <c r="Q55" s="51"/>
      <c r="R55" s="51"/>
      <c r="S55" s="51"/>
      <c r="T55" s="51"/>
      <c r="U55" s="51"/>
      <c r="V55" s="51"/>
      <c r="W55" s="509"/>
      <c r="X55" s="41"/>
    </row>
    <row r="56" spans="2:26" ht="15" customHeight="1" x14ac:dyDescent="0.25">
      <c r="B56" s="36"/>
      <c r="C56" s="513" t="s">
        <v>1502</v>
      </c>
      <c r="D56" s="51"/>
      <c r="E56" s="51"/>
      <c r="F56" s="51"/>
      <c r="G56" s="51"/>
      <c r="H56" s="51"/>
      <c r="I56" s="51"/>
      <c r="J56" s="521"/>
      <c r="K56" s="51"/>
      <c r="L56" s="97">
        <f>IF(J54=0,,L52/J54*100)</f>
        <v>0</v>
      </c>
      <c r="M56" s="510" t="s">
        <v>1498</v>
      </c>
      <c r="N56" s="51"/>
      <c r="O56" s="51"/>
      <c r="P56" s="51"/>
      <c r="Q56" s="51"/>
      <c r="R56" s="51"/>
      <c r="S56" s="51"/>
      <c r="T56" s="51"/>
      <c r="U56" s="51"/>
      <c r="V56" s="51"/>
      <c r="W56" s="509"/>
      <c r="X56" s="41"/>
    </row>
    <row r="57" spans="2:26" ht="8.1" customHeight="1" x14ac:dyDescent="0.25">
      <c r="B57" s="36"/>
      <c r="C57" s="520"/>
      <c r="D57" s="506"/>
      <c r="E57" s="506"/>
      <c r="F57" s="506"/>
      <c r="G57" s="506"/>
      <c r="H57" s="506"/>
      <c r="I57" s="506"/>
      <c r="J57" s="519"/>
      <c r="K57" s="506"/>
      <c r="L57" s="92"/>
      <c r="M57" s="506"/>
      <c r="N57" s="506"/>
      <c r="O57" s="506"/>
      <c r="P57" s="506"/>
      <c r="Q57" s="506"/>
      <c r="R57" s="506"/>
      <c r="S57" s="506"/>
      <c r="T57" s="506"/>
      <c r="U57" s="506"/>
      <c r="V57" s="506"/>
      <c r="W57" s="505"/>
      <c r="X57" s="41"/>
      <c r="Y57" s="50"/>
      <c r="Z57" s="51"/>
    </row>
    <row r="58" spans="2:26" ht="8.1" customHeight="1" x14ac:dyDescent="0.25">
      <c r="B58" s="36"/>
      <c r="C58" s="51"/>
      <c r="D58" s="51"/>
      <c r="E58" s="51"/>
      <c r="F58" s="51"/>
      <c r="G58" s="51"/>
      <c r="H58" s="51"/>
      <c r="I58" s="51"/>
      <c r="J58" s="521"/>
      <c r="K58" s="51"/>
      <c r="L58" s="51"/>
      <c r="M58" s="51"/>
      <c r="N58" s="51"/>
      <c r="O58" s="512"/>
      <c r="P58" s="51"/>
      <c r="Q58" s="51"/>
      <c r="R58" s="51"/>
      <c r="S58" s="51"/>
      <c r="T58" s="51"/>
      <c r="U58" s="51"/>
      <c r="V58" s="51"/>
      <c r="W58" s="51"/>
      <c r="X58" s="41"/>
    </row>
    <row r="59" spans="2:26" ht="8.1" customHeight="1" x14ac:dyDescent="0.25">
      <c r="B59" s="36"/>
      <c r="C59" s="510"/>
      <c r="D59" s="51"/>
      <c r="E59" s="51"/>
      <c r="F59" s="51"/>
      <c r="G59" s="51"/>
      <c r="H59" s="51"/>
      <c r="I59" s="51"/>
      <c r="J59" s="521"/>
      <c r="K59" s="51"/>
      <c r="L59" s="512"/>
      <c r="M59" s="51"/>
      <c r="N59" s="51"/>
      <c r="O59" s="51"/>
      <c r="P59" s="51"/>
      <c r="Q59" s="51"/>
      <c r="R59" s="51"/>
      <c r="S59" s="51"/>
      <c r="T59" s="51"/>
      <c r="U59" s="51"/>
      <c r="V59" s="51"/>
      <c r="W59" s="51"/>
      <c r="X59" s="41"/>
    </row>
    <row r="60" spans="2:26" x14ac:dyDescent="0.25">
      <c r="B60" s="36"/>
      <c r="C60" s="517" t="s">
        <v>1504</v>
      </c>
      <c r="D60" s="515"/>
      <c r="E60" s="515"/>
      <c r="F60" s="515"/>
      <c r="G60" s="515"/>
      <c r="H60" s="515"/>
      <c r="I60" s="515"/>
      <c r="J60" s="532"/>
      <c r="K60" s="515"/>
      <c r="L60" s="515"/>
      <c r="M60" s="515"/>
      <c r="N60" s="515"/>
      <c r="O60" s="531"/>
      <c r="P60" s="515"/>
      <c r="Q60" s="515"/>
      <c r="R60" s="515"/>
      <c r="S60" s="515"/>
      <c r="T60" s="515"/>
      <c r="U60" s="515"/>
      <c r="V60" s="515"/>
      <c r="W60" s="514"/>
      <c r="X60" s="41"/>
    </row>
    <row r="61" spans="2:26" ht="8.1" customHeight="1" x14ac:dyDescent="0.25">
      <c r="B61" s="36"/>
      <c r="C61" s="513"/>
      <c r="D61" s="51"/>
      <c r="E61" s="51"/>
      <c r="F61" s="51"/>
      <c r="G61" s="51"/>
      <c r="H61" s="51"/>
      <c r="I61" s="51"/>
      <c r="J61" s="521"/>
      <c r="K61" s="51"/>
      <c r="L61" s="51"/>
      <c r="M61" s="51"/>
      <c r="N61" s="51"/>
      <c r="O61" s="51"/>
      <c r="P61" s="51"/>
      <c r="Q61" s="51"/>
      <c r="R61" s="51"/>
      <c r="S61" s="51"/>
      <c r="T61" s="51"/>
      <c r="U61" s="51"/>
      <c r="V61" s="51"/>
      <c r="W61" s="509"/>
      <c r="X61" s="41"/>
    </row>
    <row r="62" spans="2:26" x14ac:dyDescent="0.25">
      <c r="B62" s="36"/>
      <c r="C62" s="513" t="s">
        <v>1495</v>
      </c>
      <c r="D62" s="51"/>
      <c r="E62" s="51"/>
      <c r="F62" s="51"/>
      <c r="G62" s="51"/>
      <c r="H62" s="51"/>
      <c r="I62" s="51"/>
      <c r="J62" s="530"/>
      <c r="K62" s="51"/>
      <c r="L62" s="526"/>
      <c r="M62" s="51"/>
      <c r="N62" s="51"/>
      <c r="O62" s="51"/>
      <c r="P62" s="51"/>
      <c r="Q62" s="51"/>
      <c r="R62" s="51"/>
      <c r="S62" s="51"/>
      <c r="T62" s="51"/>
      <c r="U62" s="51"/>
      <c r="V62" s="51"/>
      <c r="W62" s="509"/>
      <c r="X62" s="41"/>
    </row>
    <row r="63" spans="2:26" ht="8.1" customHeight="1" x14ac:dyDescent="0.25">
      <c r="B63" s="36"/>
      <c r="C63" s="513"/>
      <c r="D63" s="51"/>
      <c r="E63" s="51"/>
      <c r="F63" s="51"/>
      <c r="G63" s="51"/>
      <c r="H63" s="51"/>
      <c r="I63" s="51"/>
      <c r="J63" s="521"/>
      <c r="K63" s="51"/>
      <c r="L63" s="526"/>
      <c r="M63" s="51"/>
      <c r="N63" s="51"/>
      <c r="O63" s="51"/>
      <c r="P63" s="51"/>
      <c r="Q63" s="51"/>
      <c r="R63" s="51"/>
      <c r="S63" s="51"/>
      <c r="T63" s="51"/>
      <c r="U63" s="51"/>
      <c r="V63" s="51"/>
      <c r="W63" s="509"/>
      <c r="X63" s="41"/>
    </row>
    <row r="64" spans="2:26" x14ac:dyDescent="0.25">
      <c r="B64" s="36"/>
      <c r="C64" s="513" t="s">
        <v>1496</v>
      </c>
      <c r="D64" s="51"/>
      <c r="E64" s="51"/>
      <c r="F64" s="51"/>
      <c r="G64" s="51"/>
      <c r="H64" s="51"/>
      <c r="I64" s="51"/>
      <c r="J64" s="530"/>
      <c r="K64" s="51"/>
      <c r="L64" s="527"/>
      <c r="M64" s="51"/>
      <c r="N64" s="51"/>
      <c r="O64" s="51"/>
      <c r="P64" s="51"/>
      <c r="Q64" s="51"/>
      <c r="R64" s="51"/>
      <c r="S64" s="51"/>
      <c r="T64" s="51"/>
      <c r="U64" s="51"/>
      <c r="V64" s="51"/>
      <c r="W64" s="509"/>
      <c r="X64" s="41"/>
      <c r="Z64" s="508"/>
    </row>
    <row r="65" spans="2:26" ht="8.1" customHeight="1" x14ac:dyDescent="0.25">
      <c r="B65" s="36"/>
      <c r="C65" s="513"/>
      <c r="D65" s="51"/>
      <c r="E65" s="51"/>
      <c r="F65" s="51"/>
      <c r="G65" s="51"/>
      <c r="H65" s="51"/>
      <c r="I65" s="51"/>
      <c r="J65" s="525"/>
      <c r="K65" s="51"/>
      <c r="L65" s="526"/>
      <c r="M65" s="51"/>
      <c r="N65" s="51"/>
      <c r="O65" s="51"/>
      <c r="P65" s="51"/>
      <c r="Q65" s="51"/>
      <c r="R65" s="51"/>
      <c r="S65" s="51"/>
      <c r="T65" s="51"/>
      <c r="U65" s="51"/>
      <c r="V65" s="51"/>
      <c r="W65" s="509"/>
      <c r="X65" s="41"/>
    </row>
    <row r="66" spans="2:26" x14ac:dyDescent="0.25">
      <c r="B66" s="36"/>
      <c r="C66" s="513" t="s">
        <v>941</v>
      </c>
      <c r="D66" s="51"/>
      <c r="E66" s="51"/>
      <c r="F66" s="51"/>
      <c r="G66" s="51"/>
      <c r="H66" s="51"/>
      <c r="I66" s="51"/>
      <c r="J66" s="529"/>
      <c r="K66" s="51"/>
      <c r="L66" s="527"/>
      <c r="M66" s="51"/>
      <c r="N66" s="51"/>
      <c r="O66" s="51"/>
      <c r="P66" s="51"/>
      <c r="Q66" s="51"/>
      <c r="R66" s="51"/>
      <c r="S66" s="51"/>
      <c r="T66" s="51"/>
      <c r="U66" s="51"/>
      <c r="V66" s="51"/>
      <c r="W66" s="509"/>
      <c r="X66" s="41"/>
    </row>
    <row r="67" spans="2:26" ht="8.1" customHeight="1" x14ac:dyDescent="0.25">
      <c r="B67" s="36"/>
      <c r="C67" s="513"/>
      <c r="D67" s="51"/>
      <c r="E67" s="51"/>
      <c r="F67" s="51"/>
      <c r="G67" s="51"/>
      <c r="H67" s="51"/>
      <c r="I67" s="51"/>
      <c r="J67" s="525"/>
      <c r="K67" s="51"/>
      <c r="L67" s="526"/>
      <c r="M67" s="51"/>
      <c r="N67" s="51"/>
      <c r="O67" s="51"/>
      <c r="P67" s="51"/>
      <c r="Q67" s="51"/>
      <c r="R67" s="51"/>
      <c r="S67" s="51"/>
      <c r="T67" s="51"/>
      <c r="U67" s="51"/>
      <c r="V67" s="51"/>
      <c r="W67" s="509"/>
      <c r="X67" s="41"/>
    </row>
    <row r="68" spans="2:26" x14ac:dyDescent="0.25">
      <c r="B68" s="36"/>
      <c r="C68" s="513" t="s">
        <v>1497</v>
      </c>
      <c r="D68" s="51"/>
      <c r="E68" s="51"/>
      <c r="F68" s="51"/>
      <c r="G68" s="51"/>
      <c r="H68" s="51"/>
      <c r="I68" s="51"/>
      <c r="J68" s="529"/>
      <c r="K68" s="510" t="s">
        <v>1498</v>
      </c>
      <c r="L68" s="527"/>
      <c r="M68" s="51"/>
      <c r="N68" s="51"/>
      <c r="O68" s="51"/>
      <c r="P68" s="51"/>
      <c r="Q68" s="51"/>
      <c r="R68" s="51"/>
      <c r="S68" s="51"/>
      <c r="T68" s="51"/>
      <c r="U68" s="51"/>
      <c r="V68" s="51"/>
      <c r="W68" s="509"/>
      <c r="X68" s="41"/>
      <c r="Z68" s="508"/>
    </row>
    <row r="69" spans="2:26" ht="8.1" customHeight="1" x14ac:dyDescent="0.25">
      <c r="B69" s="36"/>
      <c r="C69" s="513"/>
      <c r="D69" s="51"/>
      <c r="E69" s="51"/>
      <c r="F69" s="51"/>
      <c r="G69" s="51"/>
      <c r="H69" s="51"/>
      <c r="I69" s="51"/>
      <c r="J69" s="525"/>
      <c r="K69" s="510"/>
      <c r="L69" s="526"/>
      <c r="M69" s="51"/>
      <c r="N69" s="51"/>
      <c r="O69" s="51"/>
      <c r="P69" s="51"/>
      <c r="Q69" s="51"/>
      <c r="R69" s="51"/>
      <c r="S69" s="51"/>
      <c r="T69" s="51"/>
      <c r="U69" s="51"/>
      <c r="V69" s="51"/>
      <c r="W69" s="509"/>
      <c r="X69" s="41"/>
    </row>
    <row r="70" spans="2:26" x14ac:dyDescent="0.25">
      <c r="B70" s="36"/>
      <c r="C70" s="513" t="s">
        <v>1499</v>
      </c>
      <c r="D70" s="51"/>
      <c r="E70" s="51"/>
      <c r="F70" s="51"/>
      <c r="G70" s="51"/>
      <c r="H70" s="51"/>
      <c r="I70" s="51"/>
      <c r="J70" s="528">
        <f>J31</f>
        <v>0</v>
      </c>
      <c r="K70" s="510" t="s">
        <v>6</v>
      </c>
      <c r="L70" s="527"/>
      <c r="M70" s="51"/>
      <c r="N70" s="51"/>
      <c r="O70" s="51"/>
      <c r="P70" s="51"/>
      <c r="Q70" s="51"/>
      <c r="R70" s="51"/>
      <c r="S70" s="51"/>
      <c r="T70" s="51"/>
      <c r="U70" s="51"/>
      <c r="V70" s="51"/>
      <c r="W70" s="509"/>
      <c r="X70" s="41"/>
      <c r="Y70" s="51"/>
    </row>
    <row r="71" spans="2:26" ht="8.1" customHeight="1" x14ac:dyDescent="0.25">
      <c r="B71" s="36"/>
      <c r="C71" s="513"/>
      <c r="D71" s="51"/>
      <c r="E71" s="51"/>
      <c r="F71" s="51"/>
      <c r="G71" s="51"/>
      <c r="H71" s="51"/>
      <c r="I71" s="51"/>
      <c r="J71" s="525"/>
      <c r="K71" s="510"/>
      <c r="L71" s="526"/>
      <c r="M71" s="51"/>
      <c r="N71" s="51"/>
      <c r="O71" s="51"/>
      <c r="P71" s="51"/>
      <c r="Q71" s="51"/>
      <c r="R71" s="51"/>
      <c r="S71" s="51"/>
      <c r="T71" s="51"/>
      <c r="U71" s="51"/>
      <c r="V71" s="51"/>
      <c r="W71" s="509"/>
      <c r="X71" s="41"/>
    </row>
    <row r="72" spans="2:26" x14ac:dyDescent="0.25">
      <c r="B72" s="36"/>
      <c r="C72" s="513" t="s">
        <v>1500</v>
      </c>
      <c r="D72" s="51"/>
      <c r="E72" s="51"/>
      <c r="F72" s="51"/>
      <c r="G72" s="51"/>
      <c r="H72" s="51"/>
      <c r="I72" s="51"/>
      <c r="J72" s="525"/>
      <c r="K72" s="510"/>
      <c r="L72" s="97">
        <f>J68*(100+J70)/100</f>
        <v>0</v>
      </c>
      <c r="M72" s="510" t="s">
        <v>1498</v>
      </c>
      <c r="N72" s="51"/>
      <c r="O72" s="51"/>
      <c r="P72" s="51"/>
      <c r="Q72" s="51"/>
      <c r="R72" s="51"/>
      <c r="S72" s="51"/>
      <c r="T72" s="51"/>
      <c r="U72" s="51"/>
      <c r="V72" s="51"/>
      <c r="W72" s="509"/>
      <c r="X72" s="41"/>
    </row>
    <row r="73" spans="2:26" ht="8.1" customHeight="1" x14ac:dyDescent="0.25">
      <c r="B73" s="36"/>
      <c r="C73" s="513"/>
      <c r="D73" s="51"/>
      <c r="E73" s="51"/>
      <c r="F73" s="51"/>
      <c r="G73" s="51"/>
      <c r="H73" s="51"/>
      <c r="I73" s="51"/>
      <c r="J73" s="525"/>
      <c r="K73" s="510"/>
      <c r="L73" s="90"/>
      <c r="M73" s="51"/>
      <c r="N73" s="51"/>
      <c r="O73" s="51"/>
      <c r="P73" s="51"/>
      <c r="Q73" s="51"/>
      <c r="R73" s="51"/>
      <c r="S73" s="51"/>
      <c r="T73" s="51"/>
      <c r="U73" s="51"/>
      <c r="V73" s="51"/>
      <c r="W73" s="509"/>
      <c r="X73" s="41"/>
    </row>
    <row r="74" spans="2:26" x14ac:dyDescent="0.25">
      <c r="B74" s="36"/>
      <c r="C74" s="513" t="s">
        <v>1501</v>
      </c>
      <c r="D74" s="51"/>
      <c r="E74" s="51"/>
      <c r="F74" s="51"/>
      <c r="G74" s="51"/>
      <c r="H74" s="51"/>
      <c r="I74" s="51"/>
      <c r="J74" s="524">
        <f>J35</f>
        <v>0</v>
      </c>
      <c r="K74" s="510" t="s">
        <v>6</v>
      </c>
      <c r="L74" s="523"/>
      <c r="M74" s="51"/>
      <c r="N74" s="51"/>
      <c r="O74" s="51"/>
      <c r="P74" s="51"/>
      <c r="Q74" s="51"/>
      <c r="R74" s="51"/>
      <c r="S74" s="51"/>
      <c r="T74" s="51"/>
      <c r="U74" s="51"/>
      <c r="V74" s="51"/>
      <c r="W74" s="509"/>
      <c r="X74" s="41"/>
    </row>
    <row r="75" spans="2:26" ht="8.1" customHeight="1" x14ac:dyDescent="0.25">
      <c r="B75" s="36"/>
      <c r="C75" s="513"/>
      <c r="D75" s="51"/>
      <c r="E75" s="51"/>
      <c r="F75" s="51"/>
      <c r="G75" s="51"/>
      <c r="H75" s="51"/>
      <c r="I75" s="51"/>
      <c r="J75" s="522"/>
      <c r="K75" s="51"/>
      <c r="L75" s="91"/>
      <c r="M75" s="51"/>
      <c r="N75" s="51"/>
      <c r="O75" s="51"/>
      <c r="P75" s="51"/>
      <c r="Q75" s="51"/>
      <c r="R75" s="51"/>
      <c r="S75" s="51"/>
      <c r="T75" s="51"/>
      <c r="U75" s="51"/>
      <c r="V75" s="51"/>
      <c r="W75" s="509"/>
      <c r="X75" s="41"/>
    </row>
    <row r="76" spans="2:26" ht="15" customHeight="1" x14ac:dyDescent="0.25">
      <c r="B76" s="36"/>
      <c r="C76" s="513" t="s">
        <v>1502</v>
      </c>
      <c r="D76" s="51"/>
      <c r="E76" s="51"/>
      <c r="F76" s="51"/>
      <c r="G76" s="51"/>
      <c r="H76" s="51"/>
      <c r="I76" s="51"/>
      <c r="J76" s="521"/>
      <c r="K76" s="51"/>
      <c r="L76" s="97">
        <f>IF(J74=0,,L72/J74*100)</f>
        <v>0</v>
      </c>
      <c r="M76" s="510" t="s">
        <v>1498</v>
      </c>
      <c r="N76" s="51"/>
      <c r="O76" s="51"/>
      <c r="P76" s="51"/>
      <c r="Q76" s="51"/>
      <c r="R76" s="51"/>
      <c r="S76" s="51"/>
      <c r="T76" s="51"/>
      <c r="U76" s="51"/>
      <c r="V76" s="51"/>
      <c r="W76" s="509"/>
      <c r="X76" s="41"/>
    </row>
    <row r="77" spans="2:26" ht="8.1" customHeight="1" x14ac:dyDescent="0.25">
      <c r="B77" s="36"/>
      <c r="C77" s="520"/>
      <c r="D77" s="506"/>
      <c r="E77" s="506"/>
      <c r="F77" s="506"/>
      <c r="G77" s="506"/>
      <c r="H77" s="506"/>
      <c r="I77" s="506"/>
      <c r="J77" s="519"/>
      <c r="K77" s="506"/>
      <c r="L77" s="518"/>
      <c r="M77" s="506"/>
      <c r="N77" s="506"/>
      <c r="O77" s="506"/>
      <c r="P77" s="506"/>
      <c r="Q77" s="506"/>
      <c r="R77" s="506"/>
      <c r="S77" s="506"/>
      <c r="T77" s="506"/>
      <c r="U77" s="506"/>
      <c r="V77" s="506"/>
      <c r="W77" s="505"/>
      <c r="X77" s="41"/>
      <c r="Y77" s="50"/>
      <c r="Z77" s="51"/>
    </row>
    <row r="78" spans="2:26" x14ac:dyDescent="0.25">
      <c r="B78" s="36"/>
      <c r="C78" s="517" t="s">
        <v>1505</v>
      </c>
      <c r="D78" s="515"/>
      <c r="E78" s="515"/>
      <c r="F78" s="515"/>
      <c r="G78" s="515"/>
      <c r="H78" s="515"/>
      <c r="I78" s="515"/>
      <c r="J78" s="515"/>
      <c r="K78" s="515"/>
      <c r="L78" s="515"/>
      <c r="M78" s="515"/>
      <c r="N78" s="515"/>
      <c r="O78" s="209">
        <f>IF(L37=0,,J27)+IF(L56=0,,J46)+IF(L76=0,,J66)</f>
        <v>0</v>
      </c>
      <c r="P78" s="516" t="s">
        <v>1506</v>
      </c>
      <c r="Q78" s="515"/>
      <c r="R78" s="515"/>
      <c r="S78" s="515"/>
      <c r="T78" s="515"/>
      <c r="U78" s="515"/>
      <c r="V78" s="515"/>
      <c r="W78" s="514"/>
      <c r="X78" s="41"/>
    </row>
    <row r="79" spans="2:26" x14ac:dyDescent="0.25">
      <c r="B79" s="36"/>
      <c r="C79" s="513"/>
      <c r="D79" s="51"/>
      <c r="E79" s="51"/>
      <c r="F79" s="51"/>
      <c r="G79" s="51"/>
      <c r="H79" s="51"/>
      <c r="I79" s="51"/>
      <c r="J79" s="51"/>
      <c r="K79" s="51"/>
      <c r="L79" s="51"/>
      <c r="M79" s="51"/>
      <c r="N79" s="51"/>
      <c r="O79" s="512"/>
      <c r="P79" s="51"/>
      <c r="Q79" s="51"/>
      <c r="R79" s="51"/>
      <c r="S79" s="51"/>
      <c r="T79" s="51"/>
      <c r="U79" s="51"/>
      <c r="V79" s="51"/>
      <c r="W79" s="509"/>
      <c r="X79" s="41"/>
    </row>
    <row r="80" spans="2:26" x14ac:dyDescent="0.25">
      <c r="B80" s="36"/>
      <c r="C80" s="511" t="s">
        <v>1507</v>
      </c>
      <c r="D80" s="51"/>
      <c r="E80" s="51"/>
      <c r="F80" s="51"/>
      <c r="G80" s="51"/>
      <c r="H80" s="51"/>
      <c r="I80" s="51"/>
      <c r="J80" s="51"/>
      <c r="K80" s="51"/>
      <c r="L80" s="51"/>
      <c r="M80" s="51"/>
      <c r="N80" s="51"/>
      <c r="O80" s="209">
        <f>IF(L37=0,,L37*J27/O78)+IF(L56=0,,L56*J46/O78)+IF(L76=0,,L76*J66/O78)</f>
        <v>0</v>
      </c>
      <c r="P80" s="510" t="s">
        <v>1498</v>
      </c>
      <c r="Q80" s="51"/>
      <c r="R80" s="51"/>
      <c r="S80" s="51"/>
      <c r="T80" s="51"/>
      <c r="U80" s="51"/>
      <c r="V80" s="51"/>
      <c r="W80" s="509"/>
      <c r="X80" s="41"/>
      <c r="Z80" s="508"/>
    </row>
    <row r="81" spans="2:24" x14ac:dyDescent="0.25">
      <c r="B81" s="36"/>
      <c r="C81" s="507"/>
      <c r="D81" s="506"/>
      <c r="E81" s="506"/>
      <c r="F81" s="506"/>
      <c r="G81" s="506"/>
      <c r="H81" s="506"/>
      <c r="I81" s="506"/>
      <c r="J81" s="506"/>
      <c r="K81" s="506"/>
      <c r="L81" s="506"/>
      <c r="M81" s="506"/>
      <c r="N81" s="506"/>
      <c r="O81" s="506"/>
      <c r="P81" s="506"/>
      <c r="Q81" s="506"/>
      <c r="R81" s="506"/>
      <c r="S81" s="506"/>
      <c r="T81" s="506"/>
      <c r="U81" s="506"/>
      <c r="V81" s="506"/>
      <c r="W81" s="505"/>
      <c r="X81" s="41"/>
    </row>
    <row r="82" spans="2:24" ht="15.75" thickBot="1" x14ac:dyDescent="0.3">
      <c r="B82" s="37"/>
      <c r="C82" s="38"/>
      <c r="D82" s="38"/>
      <c r="E82" s="38"/>
      <c r="F82" s="38"/>
      <c r="G82" s="38"/>
      <c r="H82" s="38"/>
      <c r="I82" s="38"/>
      <c r="J82" s="38"/>
      <c r="K82" s="38"/>
      <c r="L82" s="38"/>
      <c r="M82" s="38"/>
      <c r="N82" s="38"/>
      <c r="O82" s="38"/>
      <c r="P82" s="38"/>
      <c r="Q82" s="38"/>
      <c r="R82" s="38"/>
      <c r="S82" s="38"/>
      <c r="T82" s="38"/>
      <c r="U82" s="38"/>
      <c r="V82" s="38"/>
      <c r="W82" s="38"/>
      <c r="X82" s="42"/>
    </row>
    <row r="83" spans="2:24" ht="15.75" thickBot="1" x14ac:dyDescent="0.3"/>
    <row r="84" spans="2:24" x14ac:dyDescent="0.25">
      <c r="B84" s="663" t="s">
        <v>333</v>
      </c>
      <c r="C84" s="664"/>
      <c r="D84" s="665"/>
      <c r="E84" s="792" t="s">
        <v>1508</v>
      </c>
      <c r="F84" s="793"/>
      <c r="G84" s="793"/>
      <c r="H84" s="793"/>
      <c r="I84" s="793"/>
      <c r="J84" s="793"/>
      <c r="K84" s="793"/>
      <c r="L84" s="793"/>
      <c r="M84" s="793"/>
      <c r="N84" s="793"/>
      <c r="O84" s="793"/>
      <c r="P84" s="793"/>
      <c r="Q84" s="793"/>
      <c r="R84" s="793"/>
      <c r="S84" s="793"/>
      <c r="T84" s="793"/>
      <c r="U84" s="793"/>
      <c r="V84" s="793"/>
      <c r="W84" s="793"/>
      <c r="X84" s="794"/>
    </row>
    <row r="85" spans="2:24" x14ac:dyDescent="0.25">
      <c r="B85" s="666"/>
      <c r="C85" s="667"/>
      <c r="D85" s="668"/>
      <c r="E85" s="795"/>
      <c r="F85" s="796"/>
      <c r="G85" s="796"/>
      <c r="H85" s="796"/>
      <c r="I85" s="796"/>
      <c r="J85" s="796"/>
      <c r="K85" s="796"/>
      <c r="L85" s="796"/>
      <c r="M85" s="796"/>
      <c r="N85" s="796"/>
      <c r="O85" s="796"/>
      <c r="P85" s="796"/>
      <c r="Q85" s="796"/>
      <c r="R85" s="796"/>
      <c r="S85" s="796"/>
      <c r="T85" s="796"/>
      <c r="U85" s="796"/>
      <c r="V85" s="796"/>
      <c r="W85" s="796"/>
      <c r="X85" s="797"/>
    </row>
    <row r="86" spans="2:24" x14ac:dyDescent="0.25">
      <c r="B86" s="666"/>
      <c r="C86" s="667"/>
      <c r="D86" s="668"/>
      <c r="E86" s="795"/>
      <c r="F86" s="796"/>
      <c r="G86" s="796"/>
      <c r="H86" s="796"/>
      <c r="I86" s="796"/>
      <c r="J86" s="796"/>
      <c r="K86" s="796"/>
      <c r="L86" s="796"/>
      <c r="M86" s="796"/>
      <c r="N86" s="796"/>
      <c r="O86" s="796"/>
      <c r="P86" s="796"/>
      <c r="Q86" s="796"/>
      <c r="R86" s="796"/>
      <c r="S86" s="796"/>
      <c r="T86" s="796"/>
      <c r="U86" s="796"/>
      <c r="V86" s="796"/>
      <c r="W86" s="796"/>
      <c r="X86" s="797"/>
    </row>
    <row r="87" spans="2:24" ht="15.75" thickBot="1" x14ac:dyDescent="0.3">
      <c r="B87" s="759"/>
      <c r="C87" s="760"/>
      <c r="D87" s="761"/>
      <c r="E87" s="798"/>
      <c r="F87" s="799"/>
      <c r="G87" s="799"/>
      <c r="H87" s="799"/>
      <c r="I87" s="799"/>
      <c r="J87" s="799"/>
      <c r="K87" s="799"/>
      <c r="L87" s="799"/>
      <c r="M87" s="799"/>
      <c r="N87" s="799"/>
      <c r="O87" s="799"/>
      <c r="P87" s="799"/>
      <c r="Q87" s="799"/>
      <c r="R87" s="799"/>
      <c r="S87" s="799"/>
      <c r="T87" s="799"/>
      <c r="U87" s="799"/>
      <c r="V87" s="799"/>
      <c r="W87" s="799"/>
      <c r="X87" s="800"/>
    </row>
    <row r="90" spans="2:24" x14ac:dyDescent="0.25">
      <c r="C90" s="504"/>
    </row>
  </sheetData>
  <mergeCells count="13">
    <mergeCell ref="Z7:Z10"/>
    <mergeCell ref="J14:L14"/>
    <mergeCell ref="T19:X19"/>
    <mergeCell ref="B84:D87"/>
    <mergeCell ref="E84:X87"/>
    <mergeCell ref="B9:G10"/>
    <mergeCell ref="H3:S6"/>
    <mergeCell ref="T3:X4"/>
    <mergeCell ref="H7:S10"/>
    <mergeCell ref="U7:V7"/>
    <mergeCell ref="U8:V8"/>
    <mergeCell ref="U9:V9"/>
    <mergeCell ref="U10:V10"/>
  </mergeCells>
  <printOptions horizontalCentered="1"/>
  <pageMargins left="0.39370078740157483" right="0.39370078740157483" top="0.39370078740157483" bottom="0.39370078740157483" header="0.31496062992125984" footer="0.31496062992125984"/>
  <pageSetup paperSize="9" scale="59" orientation="landscape" r:id="rId1"/>
  <headerFooter>
    <oddFooter>&amp;LUnrestricted</oddFooter>
  </headerFooter>
  <customProperties>
    <customPr name="EpmWorksheetKeyString_GUID" r:id="rId2"/>
  </customPropertie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9EDE8-2598-4546-BF22-D43BD9F63663}">
  <dimension ref="A1:O185"/>
  <sheetViews>
    <sheetView showGridLines="0" zoomScale="85" zoomScaleNormal="85" zoomScaleSheetLayoutView="90" workbookViewId="0">
      <selection activeCell="N11" sqref="N11"/>
    </sheetView>
  </sheetViews>
  <sheetFormatPr baseColWidth="10" defaultColWidth="9.140625" defaultRowHeight="15" x14ac:dyDescent="0.25"/>
  <cols>
    <col min="2" max="2" width="10.85546875" customWidth="1"/>
    <col min="3" max="3" width="19.42578125" customWidth="1"/>
    <col min="4" max="4" width="26.140625" customWidth="1"/>
    <col min="5" max="5" width="30.7109375" customWidth="1"/>
    <col min="6" max="9" width="9.7109375" customWidth="1"/>
    <col min="14" max="14" width="27.5703125" customWidth="1"/>
  </cols>
  <sheetData>
    <row r="1" spans="1:11" ht="15" customHeight="1" x14ac:dyDescent="0.4">
      <c r="A1" s="148"/>
      <c r="B1" s="148"/>
      <c r="C1" s="148"/>
      <c r="D1" s="148"/>
      <c r="E1" s="148"/>
      <c r="F1" s="148"/>
      <c r="G1" s="148"/>
      <c r="H1" s="148"/>
      <c r="I1" s="148"/>
      <c r="J1" s="148"/>
      <c r="K1" s="148"/>
    </row>
    <row r="2" spans="1:11" ht="15" customHeight="1" x14ac:dyDescent="0.4">
      <c r="A2" s="148"/>
      <c r="B2" s="148"/>
      <c r="C2" s="148"/>
      <c r="D2" s="148"/>
      <c r="E2" s="148"/>
      <c r="F2" s="148"/>
      <c r="G2" s="148"/>
      <c r="H2" s="148"/>
      <c r="I2" s="148"/>
      <c r="J2" s="148"/>
      <c r="K2" s="148"/>
    </row>
    <row r="3" spans="1:11" ht="18.75" x14ac:dyDescent="0.3">
      <c r="B3" s="21" t="s">
        <v>1509</v>
      </c>
    </row>
    <row r="4" spans="1:11" ht="30" customHeight="1" x14ac:dyDescent="0.25">
      <c r="B4" s="27" t="s">
        <v>120</v>
      </c>
      <c r="C4" s="160" t="s">
        <v>163</v>
      </c>
      <c r="D4" s="27" t="s">
        <v>164</v>
      </c>
      <c r="E4" s="27" t="s">
        <v>165</v>
      </c>
      <c r="F4" s="27" t="s">
        <v>166</v>
      </c>
      <c r="G4" s="27" t="s">
        <v>167</v>
      </c>
      <c r="H4" s="27" t="s">
        <v>156</v>
      </c>
    </row>
    <row r="5" spans="1:11" x14ac:dyDescent="0.25">
      <c r="B5" s="20"/>
      <c r="C5" s="19"/>
      <c r="D5" s="19"/>
      <c r="E5" s="19"/>
      <c r="F5" s="19"/>
    </row>
    <row r="6" spans="1:11" x14ac:dyDescent="0.25">
      <c r="B6" s="20"/>
      <c r="C6" s="19"/>
      <c r="D6" s="19"/>
      <c r="E6" s="19"/>
      <c r="F6" s="19"/>
    </row>
    <row r="7" spans="1:11" x14ac:dyDescent="0.25">
      <c r="B7" s="20"/>
      <c r="C7" s="19"/>
      <c r="D7" s="19"/>
      <c r="E7" s="19"/>
      <c r="F7" s="19"/>
    </row>
    <row r="8" spans="1:11" x14ac:dyDescent="0.25">
      <c r="B8" s="20"/>
      <c r="C8" s="19"/>
      <c r="D8" s="19"/>
      <c r="E8" s="19"/>
      <c r="F8" s="19"/>
    </row>
    <row r="9" spans="1:11" x14ac:dyDescent="0.25">
      <c r="B9" s="20"/>
      <c r="C9" s="19"/>
      <c r="D9" s="19"/>
      <c r="E9" s="19"/>
      <c r="F9" s="19"/>
    </row>
    <row r="10" spans="1:11" x14ac:dyDescent="0.25">
      <c r="B10" s="20"/>
      <c r="C10" s="19"/>
      <c r="D10" s="19"/>
      <c r="E10" s="19"/>
      <c r="F10" s="19"/>
    </row>
    <row r="11" spans="1:11" x14ac:dyDescent="0.25">
      <c r="B11" s="20"/>
      <c r="C11" s="19"/>
      <c r="D11" s="19"/>
      <c r="E11" s="19"/>
      <c r="F11" s="19"/>
    </row>
    <row r="15" spans="1:11" ht="15.75" thickBot="1" x14ac:dyDescent="0.3"/>
    <row r="16" spans="1:11" ht="30" customHeight="1" thickBot="1" x14ac:dyDescent="0.3">
      <c r="B16" s="63" t="s">
        <v>120</v>
      </c>
      <c r="C16" s="26" t="s">
        <v>163</v>
      </c>
      <c r="D16" s="27" t="s">
        <v>164</v>
      </c>
      <c r="E16" s="27" t="s">
        <v>165</v>
      </c>
      <c r="F16" s="27" t="s">
        <v>166</v>
      </c>
      <c r="G16" s="27" t="s">
        <v>167</v>
      </c>
      <c r="H16" s="27" t="s">
        <v>156</v>
      </c>
    </row>
    <row r="17" spans="2:15" x14ac:dyDescent="0.25">
      <c r="B17" s="565" t="s">
        <v>685</v>
      </c>
      <c r="C17" s="829" t="s">
        <v>1510</v>
      </c>
      <c r="D17" s="829"/>
      <c r="E17" s="830" t="s">
        <v>1511</v>
      </c>
      <c r="F17" s="831"/>
      <c r="G17" s="831"/>
      <c r="H17" s="831"/>
      <c r="I17" s="831"/>
      <c r="J17" s="866" t="s">
        <v>1512</v>
      </c>
      <c r="K17" s="880"/>
      <c r="L17" s="880"/>
      <c r="M17" s="880"/>
      <c r="N17" s="867"/>
      <c r="O17" s="129"/>
    </row>
    <row r="18" spans="2:15" ht="15" customHeight="1" x14ac:dyDescent="0.25">
      <c r="B18" s="161">
        <v>1</v>
      </c>
      <c r="C18" s="881" t="s">
        <v>347</v>
      </c>
      <c r="D18" s="881"/>
      <c r="E18" s="881" t="s">
        <v>34</v>
      </c>
      <c r="F18" s="881"/>
      <c r="G18" s="881"/>
      <c r="H18" s="881"/>
      <c r="I18" s="881"/>
      <c r="J18" s="871" t="s">
        <v>1513</v>
      </c>
      <c r="K18" s="871"/>
      <c r="L18" s="871"/>
      <c r="M18" s="871"/>
      <c r="N18" s="882"/>
    </row>
    <row r="19" spans="2:15" ht="15" customHeight="1" x14ac:dyDescent="0.25">
      <c r="B19" s="150">
        <v>2</v>
      </c>
      <c r="C19" s="814" t="s">
        <v>1514</v>
      </c>
      <c r="D19" s="814"/>
      <c r="E19" s="814" t="s">
        <v>1515</v>
      </c>
      <c r="F19" s="814"/>
      <c r="G19" s="814"/>
      <c r="H19" s="814"/>
      <c r="I19" s="814"/>
      <c r="J19" s="813" t="s">
        <v>1516</v>
      </c>
      <c r="K19" s="814"/>
      <c r="L19" s="814"/>
      <c r="M19" s="814"/>
      <c r="N19" s="815"/>
    </row>
    <row r="20" spans="2:15" ht="15" customHeight="1" x14ac:dyDescent="0.25">
      <c r="B20" s="150">
        <v>3</v>
      </c>
      <c r="C20" s="823" t="s">
        <v>361</v>
      </c>
      <c r="D20" s="851"/>
      <c r="E20" s="814" t="s">
        <v>1517</v>
      </c>
      <c r="F20" s="814"/>
      <c r="G20" s="814"/>
      <c r="H20" s="814"/>
      <c r="I20" s="814"/>
      <c r="J20" s="814" t="s">
        <v>1518</v>
      </c>
      <c r="K20" s="814"/>
      <c r="L20" s="814"/>
      <c r="M20" s="814"/>
      <c r="N20" s="815"/>
    </row>
    <row r="21" spans="2:15" ht="15" customHeight="1" x14ac:dyDescent="0.25">
      <c r="B21" s="150">
        <v>4</v>
      </c>
      <c r="C21" s="158" t="s">
        <v>368</v>
      </c>
      <c r="D21" s="159"/>
      <c r="E21" s="814" t="s">
        <v>37</v>
      </c>
      <c r="F21" s="814"/>
      <c r="G21" s="814"/>
      <c r="H21" s="814"/>
      <c r="I21" s="814"/>
      <c r="J21" s="813" t="s">
        <v>1519</v>
      </c>
      <c r="K21" s="814"/>
      <c r="L21" s="814"/>
      <c r="M21" s="814"/>
      <c r="N21" s="815"/>
    </row>
    <row r="22" spans="2:15" ht="30" customHeight="1" x14ac:dyDescent="0.25">
      <c r="B22" s="150">
        <v>5</v>
      </c>
      <c r="C22" s="814" t="s">
        <v>375</v>
      </c>
      <c r="D22" s="814"/>
      <c r="E22" s="814" t="s">
        <v>1520</v>
      </c>
      <c r="F22" s="814"/>
      <c r="G22" s="814"/>
      <c r="H22" s="814"/>
      <c r="I22" s="814"/>
      <c r="J22" s="813" t="s">
        <v>1521</v>
      </c>
      <c r="K22" s="814"/>
      <c r="L22" s="814"/>
      <c r="M22" s="814"/>
      <c r="N22" s="815"/>
    </row>
    <row r="23" spans="2:15" ht="30" customHeight="1" x14ac:dyDescent="0.25">
      <c r="B23" s="150">
        <v>6</v>
      </c>
      <c r="C23" s="814" t="s">
        <v>382</v>
      </c>
      <c r="D23" s="814"/>
      <c r="E23" s="814" t="s">
        <v>1522</v>
      </c>
      <c r="F23" s="814"/>
      <c r="G23" s="814"/>
      <c r="H23" s="814"/>
      <c r="I23" s="814"/>
      <c r="J23" s="810" t="s">
        <v>1523</v>
      </c>
      <c r="K23" s="810"/>
      <c r="L23" s="810"/>
      <c r="M23" s="810"/>
      <c r="N23" s="825"/>
    </row>
    <row r="24" spans="2:15" ht="30" customHeight="1" x14ac:dyDescent="0.25">
      <c r="B24" s="150">
        <v>7</v>
      </c>
      <c r="C24" s="814" t="s">
        <v>42</v>
      </c>
      <c r="D24" s="814"/>
      <c r="E24" s="814" t="s">
        <v>798</v>
      </c>
      <c r="F24" s="814"/>
      <c r="G24" s="814"/>
      <c r="H24" s="814"/>
      <c r="I24" s="814"/>
      <c r="J24" s="814" t="s">
        <v>1524</v>
      </c>
      <c r="K24" s="814"/>
      <c r="L24" s="814"/>
      <c r="M24" s="814"/>
      <c r="N24" s="815"/>
    </row>
    <row r="25" spans="2:15" ht="30" customHeight="1" x14ac:dyDescent="0.25">
      <c r="B25" s="150">
        <v>8</v>
      </c>
      <c r="C25" s="814" t="s">
        <v>395</v>
      </c>
      <c r="D25" s="814"/>
      <c r="E25" s="814" t="s">
        <v>1525</v>
      </c>
      <c r="F25" s="814"/>
      <c r="G25" s="814"/>
      <c r="H25" s="814"/>
      <c r="I25" s="814"/>
      <c r="J25" s="813" t="s">
        <v>1526</v>
      </c>
      <c r="K25" s="813"/>
      <c r="L25" s="813"/>
      <c r="M25" s="813"/>
      <c r="N25" s="874"/>
    </row>
    <row r="26" spans="2:15" ht="30" customHeight="1" x14ac:dyDescent="0.25">
      <c r="B26" s="150">
        <v>9</v>
      </c>
      <c r="C26" s="814" t="s">
        <v>401</v>
      </c>
      <c r="D26" s="814"/>
      <c r="E26" s="814" t="s">
        <v>1527</v>
      </c>
      <c r="F26" s="814"/>
      <c r="G26" s="814"/>
      <c r="H26" s="814"/>
      <c r="I26" s="814"/>
      <c r="J26" s="813" t="s">
        <v>1528</v>
      </c>
      <c r="K26" s="813"/>
      <c r="L26" s="813"/>
      <c r="M26" s="813"/>
      <c r="N26" s="874"/>
    </row>
    <row r="27" spans="2:15" ht="26.25" customHeight="1" x14ac:dyDescent="0.25">
      <c r="B27" s="150">
        <v>10</v>
      </c>
      <c r="C27" s="814" t="s">
        <v>408</v>
      </c>
      <c r="D27" s="814"/>
      <c r="E27" s="814" t="s">
        <v>1529</v>
      </c>
      <c r="F27" s="814"/>
      <c r="G27" s="814"/>
      <c r="H27" s="814"/>
      <c r="I27" s="814"/>
      <c r="J27" s="813" t="s">
        <v>1530</v>
      </c>
      <c r="K27" s="813"/>
      <c r="L27" s="813"/>
      <c r="M27" s="813"/>
      <c r="N27" s="874"/>
    </row>
    <row r="28" spans="2:15" ht="26.25" customHeight="1" x14ac:dyDescent="0.25">
      <c r="B28" s="150">
        <v>11</v>
      </c>
      <c r="C28" s="814" t="s">
        <v>1531</v>
      </c>
      <c r="D28" s="814"/>
      <c r="E28" s="814" t="s">
        <v>1532</v>
      </c>
      <c r="F28" s="814"/>
      <c r="G28" s="814"/>
      <c r="H28" s="814"/>
      <c r="I28" s="814"/>
      <c r="J28" s="813" t="s">
        <v>1533</v>
      </c>
      <c r="K28" s="813"/>
      <c r="L28" s="813"/>
      <c r="M28" s="813"/>
      <c r="N28" s="874"/>
    </row>
    <row r="29" spans="2:15" ht="26.25" customHeight="1" x14ac:dyDescent="0.25">
      <c r="B29" s="150">
        <v>12</v>
      </c>
      <c r="C29" s="814" t="s">
        <v>422</v>
      </c>
      <c r="D29" s="814"/>
      <c r="E29" s="814" t="s">
        <v>1534</v>
      </c>
      <c r="F29" s="814"/>
      <c r="G29" s="814"/>
      <c r="H29" s="814"/>
      <c r="I29" s="814"/>
      <c r="J29" s="813" t="s">
        <v>1535</v>
      </c>
      <c r="K29" s="813"/>
      <c r="L29" s="813"/>
      <c r="M29" s="813"/>
      <c r="N29" s="874"/>
    </row>
    <row r="30" spans="2:15" ht="41.25" customHeight="1" x14ac:dyDescent="0.25">
      <c r="B30" s="150">
        <v>13</v>
      </c>
      <c r="C30" s="814" t="s">
        <v>429</v>
      </c>
      <c r="D30" s="814"/>
      <c r="E30" s="814" t="s">
        <v>1534</v>
      </c>
      <c r="F30" s="814"/>
      <c r="G30" s="814"/>
      <c r="H30" s="814"/>
      <c r="I30" s="814"/>
      <c r="J30" s="813" t="s">
        <v>1536</v>
      </c>
      <c r="K30" s="814"/>
      <c r="L30" s="814"/>
      <c r="M30" s="814"/>
      <c r="N30" s="815"/>
    </row>
    <row r="31" spans="2:15" ht="41.25" customHeight="1" x14ac:dyDescent="0.25">
      <c r="B31" s="150">
        <v>14</v>
      </c>
      <c r="C31" s="814" t="s">
        <v>436</v>
      </c>
      <c r="D31" s="814"/>
      <c r="E31" s="814" t="s">
        <v>1537</v>
      </c>
      <c r="F31" s="814"/>
      <c r="G31" s="814"/>
      <c r="H31" s="814"/>
      <c r="I31" s="814"/>
      <c r="J31" s="813" t="s">
        <v>1538</v>
      </c>
      <c r="K31" s="814"/>
      <c r="L31" s="814"/>
      <c r="M31" s="814"/>
      <c r="N31" s="815"/>
    </row>
    <row r="32" spans="2:15" ht="41.25" customHeight="1" x14ac:dyDescent="0.25">
      <c r="B32" s="150">
        <v>15</v>
      </c>
      <c r="C32" s="814" t="s">
        <v>443</v>
      </c>
      <c r="D32" s="814"/>
      <c r="E32" s="814" t="s">
        <v>1539</v>
      </c>
      <c r="F32" s="814"/>
      <c r="G32" s="814"/>
      <c r="H32" s="814"/>
      <c r="I32" s="814"/>
      <c r="J32" s="817" t="s">
        <v>1540</v>
      </c>
      <c r="K32" s="818"/>
      <c r="L32" s="818"/>
      <c r="M32" s="818"/>
      <c r="N32" s="819"/>
    </row>
    <row r="33" spans="2:14" ht="41.25" customHeight="1" x14ac:dyDescent="0.25">
      <c r="B33" s="150">
        <v>16</v>
      </c>
      <c r="C33" s="814" t="s">
        <v>450</v>
      </c>
      <c r="D33" s="814"/>
      <c r="E33" s="814" t="s">
        <v>1541</v>
      </c>
      <c r="F33" s="814"/>
      <c r="G33" s="814"/>
      <c r="H33" s="814"/>
      <c r="I33" s="814"/>
      <c r="J33" s="813" t="s">
        <v>1542</v>
      </c>
      <c r="K33" s="814"/>
      <c r="L33" s="814"/>
      <c r="M33" s="814"/>
      <c r="N33" s="815"/>
    </row>
    <row r="34" spans="2:14" ht="41.25" customHeight="1" x14ac:dyDescent="0.25">
      <c r="B34" s="150">
        <v>17</v>
      </c>
      <c r="C34" s="814" t="s">
        <v>457</v>
      </c>
      <c r="D34" s="814"/>
      <c r="E34" s="814" t="s">
        <v>1543</v>
      </c>
      <c r="F34" s="814"/>
      <c r="G34" s="814"/>
      <c r="H34" s="814"/>
      <c r="I34" s="814"/>
      <c r="J34" s="810" t="s">
        <v>1523</v>
      </c>
      <c r="K34" s="810"/>
      <c r="L34" s="810"/>
      <c r="M34" s="810"/>
      <c r="N34" s="825"/>
    </row>
    <row r="35" spans="2:14" ht="41.25" customHeight="1" x14ac:dyDescent="0.25">
      <c r="B35" s="150">
        <v>18</v>
      </c>
      <c r="C35" s="814" t="s">
        <v>1544</v>
      </c>
      <c r="D35" s="814"/>
      <c r="E35" s="814" t="s">
        <v>558</v>
      </c>
      <c r="F35" s="814"/>
      <c r="G35" s="814"/>
      <c r="H35" s="814"/>
      <c r="I35" s="814"/>
      <c r="J35" s="813" t="s">
        <v>1545</v>
      </c>
      <c r="K35" s="814"/>
      <c r="L35" s="814"/>
      <c r="M35" s="814"/>
      <c r="N35" s="815"/>
    </row>
    <row r="36" spans="2:14" ht="41.25" customHeight="1" x14ac:dyDescent="0.25">
      <c r="B36" s="150">
        <v>19</v>
      </c>
      <c r="C36" s="814" t="s">
        <v>565</v>
      </c>
      <c r="D36" s="814"/>
      <c r="E36" s="814" t="s">
        <v>565</v>
      </c>
      <c r="F36" s="814"/>
      <c r="G36" s="814"/>
      <c r="H36" s="814"/>
      <c r="I36" s="814"/>
      <c r="J36" s="813" t="s">
        <v>1546</v>
      </c>
      <c r="K36" s="814"/>
      <c r="L36" s="814"/>
      <c r="M36" s="814"/>
      <c r="N36" s="815"/>
    </row>
    <row r="37" spans="2:14" ht="41.25" customHeight="1" x14ac:dyDescent="0.25">
      <c r="B37" s="150">
        <v>20</v>
      </c>
      <c r="C37" s="814" t="s">
        <v>1547</v>
      </c>
      <c r="D37" s="814"/>
      <c r="E37" s="814" t="s">
        <v>1548</v>
      </c>
      <c r="F37" s="814"/>
      <c r="G37" s="814"/>
      <c r="H37" s="814"/>
      <c r="I37" s="814"/>
      <c r="J37" s="811" t="s">
        <v>1523</v>
      </c>
      <c r="K37" s="811"/>
      <c r="L37" s="811"/>
      <c r="M37" s="811"/>
      <c r="N37" s="812"/>
    </row>
    <row r="38" spans="2:14" ht="60.75" customHeight="1" x14ac:dyDescent="0.25">
      <c r="B38" s="801">
        <v>21</v>
      </c>
      <c r="C38" s="803" t="s">
        <v>485</v>
      </c>
      <c r="D38" s="804"/>
      <c r="E38" s="807" t="s">
        <v>1549</v>
      </c>
      <c r="F38" s="808"/>
      <c r="G38" s="808"/>
      <c r="H38" s="808"/>
      <c r="I38" s="809"/>
      <c r="J38" s="810" t="s">
        <v>1523</v>
      </c>
      <c r="K38" s="811"/>
      <c r="L38" s="811"/>
      <c r="M38" s="811"/>
      <c r="N38" s="812"/>
    </row>
    <row r="39" spans="2:14" ht="41.25" customHeight="1" x14ac:dyDescent="0.25">
      <c r="B39" s="802"/>
      <c r="C39" s="805"/>
      <c r="D39" s="806"/>
      <c r="E39" s="813" t="s">
        <v>1550</v>
      </c>
      <c r="F39" s="813"/>
      <c r="G39" s="813"/>
      <c r="H39" s="813"/>
      <c r="I39" s="813"/>
      <c r="J39" s="813" t="s">
        <v>1551</v>
      </c>
      <c r="K39" s="814"/>
      <c r="L39" s="814"/>
      <c r="M39" s="814"/>
      <c r="N39" s="815"/>
    </row>
    <row r="40" spans="2:14" ht="60.75" customHeight="1" x14ac:dyDescent="0.25">
      <c r="B40" s="801">
        <v>22</v>
      </c>
      <c r="C40" s="803" t="s">
        <v>492</v>
      </c>
      <c r="D40" s="804"/>
      <c r="E40" s="807" t="s">
        <v>1549</v>
      </c>
      <c r="F40" s="808"/>
      <c r="G40" s="808"/>
      <c r="H40" s="808"/>
      <c r="I40" s="809"/>
      <c r="J40" s="810" t="s">
        <v>1523</v>
      </c>
      <c r="K40" s="811"/>
      <c r="L40" s="811"/>
      <c r="M40" s="811"/>
      <c r="N40" s="812"/>
    </row>
    <row r="41" spans="2:14" ht="41.25" customHeight="1" x14ac:dyDescent="0.25">
      <c r="B41" s="802"/>
      <c r="C41" s="805"/>
      <c r="D41" s="806"/>
      <c r="E41" s="813" t="s">
        <v>1550</v>
      </c>
      <c r="F41" s="813"/>
      <c r="G41" s="813"/>
      <c r="H41" s="813"/>
      <c r="I41" s="813"/>
      <c r="J41" s="813" t="s">
        <v>1552</v>
      </c>
      <c r="K41" s="814"/>
      <c r="L41" s="814"/>
      <c r="M41" s="814"/>
      <c r="N41" s="815"/>
    </row>
    <row r="42" spans="2:14" ht="41.25" customHeight="1" x14ac:dyDescent="0.25">
      <c r="B42" s="150">
        <v>23</v>
      </c>
      <c r="C42" s="814" t="s">
        <v>499</v>
      </c>
      <c r="D42" s="814"/>
      <c r="E42" s="814" t="s">
        <v>1553</v>
      </c>
      <c r="F42" s="814"/>
      <c r="G42" s="814"/>
      <c r="H42" s="814"/>
      <c r="I42" s="814"/>
      <c r="J42" s="810" t="s">
        <v>1523</v>
      </c>
      <c r="K42" s="811"/>
      <c r="L42" s="811"/>
      <c r="M42" s="811"/>
      <c r="N42" s="812"/>
    </row>
    <row r="43" spans="2:14" ht="41.25" customHeight="1" x14ac:dyDescent="0.25">
      <c r="B43" s="150">
        <v>24</v>
      </c>
      <c r="C43" s="814" t="s">
        <v>506</v>
      </c>
      <c r="D43" s="814"/>
      <c r="E43" s="814" t="s">
        <v>1554</v>
      </c>
      <c r="F43" s="814"/>
      <c r="G43" s="814"/>
      <c r="H43" s="814"/>
      <c r="I43" s="814"/>
      <c r="J43" s="813" t="s">
        <v>1555</v>
      </c>
      <c r="K43" s="814"/>
      <c r="L43" s="814"/>
      <c r="M43" s="814"/>
      <c r="N43" s="815"/>
    </row>
    <row r="44" spans="2:14" ht="36" customHeight="1" x14ac:dyDescent="0.25">
      <c r="B44" s="816">
        <v>25</v>
      </c>
      <c r="C44" s="803" t="s">
        <v>513</v>
      </c>
      <c r="D44" s="804"/>
      <c r="E44" s="814" t="s">
        <v>1556</v>
      </c>
      <c r="F44" s="814"/>
      <c r="G44" s="814"/>
      <c r="H44" s="814"/>
      <c r="I44" s="814"/>
      <c r="J44" s="817" t="s">
        <v>1557</v>
      </c>
      <c r="K44" s="818"/>
      <c r="L44" s="818"/>
      <c r="M44" s="818"/>
      <c r="N44" s="819"/>
    </row>
    <row r="45" spans="2:14" x14ac:dyDescent="0.25">
      <c r="B45" s="816"/>
      <c r="C45" s="805"/>
      <c r="D45" s="806"/>
      <c r="E45" s="814" t="s">
        <v>1558</v>
      </c>
      <c r="F45" s="814"/>
      <c r="G45" s="814"/>
      <c r="H45" s="814"/>
      <c r="I45" s="814"/>
      <c r="J45" s="810" t="s">
        <v>1523</v>
      </c>
      <c r="K45" s="811"/>
      <c r="L45" s="811"/>
      <c r="M45" s="811"/>
      <c r="N45" s="812"/>
    </row>
    <row r="46" spans="2:14" ht="41.25" customHeight="1" x14ac:dyDescent="0.25">
      <c r="B46" s="150">
        <v>26</v>
      </c>
      <c r="C46" s="814" t="s">
        <v>1559</v>
      </c>
      <c r="D46" s="814"/>
      <c r="E46" s="814" t="s">
        <v>1560</v>
      </c>
      <c r="F46" s="814"/>
      <c r="G46" s="814"/>
      <c r="H46" s="814"/>
      <c r="I46" s="814"/>
      <c r="J46" s="810" t="s">
        <v>1523</v>
      </c>
      <c r="K46" s="811"/>
      <c r="L46" s="811"/>
      <c r="M46" s="811"/>
      <c r="N46" s="812"/>
    </row>
    <row r="47" spans="2:14" ht="41.25" customHeight="1" x14ac:dyDescent="0.25">
      <c r="B47" s="150">
        <v>27</v>
      </c>
      <c r="C47" s="814" t="s">
        <v>1561</v>
      </c>
      <c r="D47" s="814"/>
      <c r="E47" s="814" t="s">
        <v>1562</v>
      </c>
      <c r="F47" s="814"/>
      <c r="G47" s="814"/>
      <c r="H47" s="814"/>
      <c r="I47" s="814"/>
      <c r="J47" s="810" t="s">
        <v>1523</v>
      </c>
      <c r="K47" s="811"/>
      <c r="L47" s="811"/>
      <c r="M47" s="811"/>
      <c r="N47" s="812"/>
    </row>
    <row r="48" spans="2:14" ht="41.25" customHeight="1" x14ac:dyDescent="0.25">
      <c r="B48" s="150">
        <v>28</v>
      </c>
      <c r="C48" s="814" t="s">
        <v>534</v>
      </c>
      <c r="D48" s="814"/>
      <c r="E48" s="814" t="s">
        <v>1563</v>
      </c>
      <c r="F48" s="814"/>
      <c r="G48" s="814"/>
      <c r="H48" s="814"/>
      <c r="I48" s="814"/>
      <c r="J48" s="810" t="s">
        <v>1523</v>
      </c>
      <c r="K48" s="811"/>
      <c r="L48" s="811"/>
      <c r="M48" s="811"/>
      <c r="N48" s="812"/>
    </row>
    <row r="49" spans="2:14" ht="41.25" customHeight="1" x14ac:dyDescent="0.25">
      <c r="B49" s="150">
        <v>29</v>
      </c>
      <c r="C49" s="814" t="s">
        <v>540</v>
      </c>
      <c r="D49" s="814"/>
      <c r="E49" s="814" t="s">
        <v>627</v>
      </c>
      <c r="F49" s="814"/>
      <c r="G49" s="814"/>
      <c r="H49" s="814"/>
      <c r="I49" s="814"/>
      <c r="J49" s="813" t="s">
        <v>1564</v>
      </c>
      <c r="K49" s="814"/>
      <c r="L49" s="814"/>
      <c r="M49" s="814"/>
      <c r="N49" s="815"/>
    </row>
    <row r="50" spans="2:14" ht="41.25" customHeight="1" x14ac:dyDescent="0.25">
      <c r="B50" s="150">
        <v>30</v>
      </c>
      <c r="C50" s="814" t="s">
        <v>1565</v>
      </c>
      <c r="D50" s="814"/>
      <c r="E50" s="814" t="s">
        <v>1566</v>
      </c>
      <c r="F50" s="814"/>
      <c r="G50" s="814"/>
      <c r="H50" s="814"/>
      <c r="I50" s="814"/>
      <c r="J50" s="823" t="s">
        <v>1567</v>
      </c>
      <c r="K50" s="824"/>
      <c r="L50" s="824"/>
      <c r="M50" s="824"/>
      <c r="N50" s="723"/>
    </row>
    <row r="51" spans="2:14" ht="41.25" customHeight="1" x14ac:dyDescent="0.25">
      <c r="B51" s="74">
        <v>31</v>
      </c>
      <c r="C51" s="820" t="s">
        <v>1568</v>
      </c>
      <c r="D51" s="820"/>
      <c r="E51" s="820" t="s">
        <v>1569</v>
      </c>
      <c r="F51" s="820"/>
      <c r="G51" s="820"/>
      <c r="H51" s="820"/>
      <c r="I51" s="820"/>
      <c r="J51" s="821" t="s">
        <v>1523</v>
      </c>
      <c r="K51" s="821"/>
      <c r="L51" s="821"/>
      <c r="M51" s="821"/>
      <c r="N51" s="822"/>
    </row>
    <row r="53" spans="2:14" ht="15.75" thickBot="1" x14ac:dyDescent="0.3"/>
    <row r="54" spans="2:14" ht="30" customHeight="1" thickBot="1" x14ac:dyDescent="0.3">
      <c r="B54" s="27" t="s">
        <v>120</v>
      </c>
      <c r="C54" s="63" t="s">
        <v>163</v>
      </c>
      <c r="D54" s="27" t="s">
        <v>164</v>
      </c>
      <c r="E54" s="27" t="s">
        <v>165</v>
      </c>
      <c r="F54" s="27" t="s">
        <v>166</v>
      </c>
      <c r="G54" s="27" t="s">
        <v>167</v>
      </c>
      <c r="H54" s="27" t="s">
        <v>156</v>
      </c>
    </row>
    <row r="55" spans="2:14" x14ac:dyDescent="0.25">
      <c r="B55" s="565" t="s">
        <v>685</v>
      </c>
      <c r="C55" s="829" t="s">
        <v>1510</v>
      </c>
      <c r="D55" s="829"/>
      <c r="E55" s="830" t="s">
        <v>1511</v>
      </c>
      <c r="F55" s="831"/>
      <c r="G55" s="831"/>
      <c r="H55" s="831"/>
      <c r="I55" s="831"/>
      <c r="J55" s="830" t="s">
        <v>1512</v>
      </c>
      <c r="K55" s="831"/>
      <c r="L55" s="831"/>
      <c r="M55" s="831"/>
      <c r="N55" s="832"/>
    </row>
    <row r="56" spans="2:14" ht="15.75" customHeight="1" x14ac:dyDescent="0.25">
      <c r="B56" s="149" t="s">
        <v>10</v>
      </c>
      <c r="C56" s="869" t="s">
        <v>685</v>
      </c>
      <c r="D56" s="870"/>
      <c r="E56" s="859" t="s">
        <v>1570</v>
      </c>
      <c r="F56" s="859"/>
      <c r="G56" s="859"/>
      <c r="H56" s="859"/>
      <c r="I56" s="859"/>
      <c r="J56" s="872" t="s">
        <v>1523</v>
      </c>
      <c r="K56" s="872"/>
      <c r="L56" s="872"/>
      <c r="M56" s="872"/>
      <c r="N56" s="873"/>
    </row>
    <row r="57" spans="2:14" ht="15.75" customHeight="1" x14ac:dyDescent="0.25">
      <c r="B57" s="150" t="s">
        <v>11</v>
      </c>
      <c r="C57" s="823" t="s">
        <v>691</v>
      </c>
      <c r="D57" s="851"/>
      <c r="E57" s="813" t="s">
        <v>1571</v>
      </c>
      <c r="F57" s="813"/>
      <c r="G57" s="813"/>
      <c r="H57" s="813"/>
      <c r="I57" s="813"/>
      <c r="J57" s="811" t="s">
        <v>1523</v>
      </c>
      <c r="K57" s="811"/>
      <c r="L57" s="811"/>
      <c r="M57" s="811"/>
      <c r="N57" s="812"/>
    </row>
    <row r="58" spans="2:14" ht="15.75" customHeight="1" x14ac:dyDescent="0.25">
      <c r="B58" s="150" t="s">
        <v>12</v>
      </c>
      <c r="C58" s="823" t="s">
        <v>1572</v>
      </c>
      <c r="D58" s="851"/>
      <c r="E58" s="813" t="s">
        <v>1573</v>
      </c>
      <c r="F58" s="813"/>
      <c r="G58" s="813"/>
      <c r="H58" s="813"/>
      <c r="I58" s="813"/>
      <c r="J58" s="811" t="s">
        <v>1523</v>
      </c>
      <c r="K58" s="811"/>
      <c r="L58" s="811"/>
      <c r="M58" s="811"/>
      <c r="N58" s="812"/>
    </row>
    <row r="59" spans="2:14" ht="26.25" customHeight="1" x14ac:dyDescent="0.25">
      <c r="B59" s="150" t="s">
        <v>13</v>
      </c>
      <c r="C59" s="823" t="s">
        <v>701</v>
      </c>
      <c r="D59" s="851"/>
      <c r="E59" s="813" t="s">
        <v>1574</v>
      </c>
      <c r="F59" s="813"/>
      <c r="G59" s="813"/>
      <c r="H59" s="813"/>
      <c r="I59" s="813"/>
      <c r="J59" s="811" t="s">
        <v>1523</v>
      </c>
      <c r="K59" s="811"/>
      <c r="L59" s="811"/>
      <c r="M59" s="811"/>
      <c r="N59" s="812"/>
    </row>
    <row r="60" spans="2:14" ht="15.75" customHeight="1" x14ac:dyDescent="0.25">
      <c r="B60" s="150" t="s">
        <v>14</v>
      </c>
      <c r="C60" s="823" t="s">
        <v>708</v>
      </c>
      <c r="D60" s="851"/>
      <c r="E60" s="813" t="s">
        <v>1575</v>
      </c>
      <c r="F60" s="813"/>
      <c r="G60" s="813"/>
      <c r="H60" s="813"/>
      <c r="I60" s="813"/>
      <c r="J60" s="811" t="s">
        <v>1523</v>
      </c>
      <c r="K60" s="811"/>
      <c r="L60" s="811"/>
      <c r="M60" s="811"/>
      <c r="N60" s="812"/>
    </row>
    <row r="61" spans="2:14" x14ac:dyDescent="0.25">
      <c r="B61" s="150" t="s">
        <v>15</v>
      </c>
      <c r="C61" s="823" t="s">
        <v>715</v>
      </c>
      <c r="D61" s="851"/>
      <c r="E61" s="813" t="s">
        <v>1576</v>
      </c>
      <c r="F61" s="813"/>
      <c r="G61" s="813"/>
      <c r="H61" s="813"/>
      <c r="I61" s="813"/>
      <c r="J61" s="811" t="s">
        <v>1577</v>
      </c>
      <c r="K61" s="811"/>
      <c r="L61" s="811"/>
      <c r="M61" s="811"/>
      <c r="N61" s="812"/>
    </row>
    <row r="62" spans="2:14" ht="15" customHeight="1" x14ac:dyDescent="0.25">
      <c r="B62" s="150" t="s">
        <v>16</v>
      </c>
      <c r="C62" s="823" t="s">
        <v>189</v>
      </c>
      <c r="D62" s="851"/>
      <c r="E62" s="813" t="s">
        <v>1578</v>
      </c>
      <c r="F62" s="813"/>
      <c r="G62" s="813"/>
      <c r="H62" s="813"/>
      <c r="I62" s="813"/>
      <c r="J62" s="811" t="s">
        <v>1523</v>
      </c>
      <c r="K62" s="811"/>
      <c r="L62" s="811"/>
      <c r="M62" s="811"/>
      <c r="N62" s="812"/>
    </row>
    <row r="63" spans="2:14" ht="15" customHeight="1" x14ac:dyDescent="0.25">
      <c r="B63" s="150" t="s">
        <v>17</v>
      </c>
      <c r="C63" s="823" t="s">
        <v>723</v>
      </c>
      <c r="D63" s="851"/>
      <c r="E63" s="813" t="s">
        <v>1579</v>
      </c>
      <c r="F63" s="813"/>
      <c r="G63" s="813"/>
      <c r="H63" s="813"/>
      <c r="I63" s="813"/>
      <c r="J63" s="811" t="s">
        <v>1577</v>
      </c>
      <c r="K63" s="811"/>
      <c r="L63" s="811"/>
      <c r="M63" s="811"/>
      <c r="N63" s="812"/>
    </row>
    <row r="64" spans="2:14" ht="15" customHeight="1" x14ac:dyDescent="0.25">
      <c r="B64" s="150" t="s">
        <v>18</v>
      </c>
      <c r="C64" s="823" t="s">
        <v>727</v>
      </c>
      <c r="D64" s="851"/>
      <c r="E64" s="813" t="s">
        <v>1580</v>
      </c>
      <c r="F64" s="813"/>
      <c r="G64" s="813"/>
      <c r="H64" s="813"/>
      <c r="I64" s="813"/>
      <c r="J64" s="811" t="s">
        <v>1523</v>
      </c>
      <c r="K64" s="811"/>
      <c r="L64" s="811"/>
      <c r="M64" s="811"/>
      <c r="N64" s="812"/>
    </row>
    <row r="65" spans="2:14" ht="15" customHeight="1" x14ac:dyDescent="0.25">
      <c r="B65" s="150" t="s">
        <v>19</v>
      </c>
      <c r="C65" s="823" t="s">
        <v>734</v>
      </c>
      <c r="D65" s="851"/>
      <c r="E65" s="813" t="s">
        <v>1581</v>
      </c>
      <c r="F65" s="813"/>
      <c r="G65" s="813"/>
      <c r="H65" s="813"/>
      <c r="I65" s="813"/>
      <c r="J65" s="811" t="s">
        <v>1523</v>
      </c>
      <c r="K65" s="811"/>
      <c r="L65" s="811"/>
      <c r="M65" s="811"/>
      <c r="N65" s="812"/>
    </row>
    <row r="66" spans="2:14" ht="15" customHeight="1" x14ac:dyDescent="0.25">
      <c r="B66" s="150" t="s">
        <v>20</v>
      </c>
      <c r="C66" s="823" t="s">
        <v>741</v>
      </c>
      <c r="D66" s="851"/>
      <c r="E66" s="813" t="s">
        <v>1582</v>
      </c>
      <c r="F66" s="813"/>
      <c r="G66" s="813"/>
      <c r="H66" s="813"/>
      <c r="I66" s="813"/>
      <c r="J66" s="811" t="s">
        <v>1523</v>
      </c>
      <c r="K66" s="811"/>
      <c r="L66" s="811"/>
      <c r="M66" s="811"/>
      <c r="N66" s="812"/>
    </row>
    <row r="67" spans="2:14" ht="30" customHeight="1" x14ac:dyDescent="0.25">
      <c r="B67" s="150" t="s">
        <v>21</v>
      </c>
      <c r="C67" s="823" t="s">
        <v>748</v>
      </c>
      <c r="D67" s="851"/>
      <c r="E67" s="813" t="s">
        <v>1583</v>
      </c>
      <c r="F67" s="813"/>
      <c r="G67" s="813"/>
      <c r="H67" s="813"/>
      <c r="I67" s="813"/>
      <c r="J67" s="811" t="s">
        <v>1577</v>
      </c>
      <c r="K67" s="811"/>
      <c r="L67" s="811"/>
      <c r="M67" s="811"/>
      <c r="N67" s="812"/>
    </row>
    <row r="68" spans="2:14" ht="24" customHeight="1" x14ac:dyDescent="0.25">
      <c r="B68" s="150" t="s">
        <v>22</v>
      </c>
      <c r="C68" s="823" t="s">
        <v>754</v>
      </c>
      <c r="D68" s="851"/>
      <c r="E68" s="813" t="s">
        <v>1584</v>
      </c>
      <c r="F68" s="813"/>
      <c r="G68" s="813"/>
      <c r="H68" s="813"/>
      <c r="I68" s="813"/>
      <c r="J68" s="811" t="s">
        <v>1523</v>
      </c>
      <c r="K68" s="811"/>
      <c r="L68" s="811"/>
      <c r="M68" s="811"/>
      <c r="N68" s="812"/>
    </row>
    <row r="69" spans="2:14" ht="29.25" customHeight="1" x14ac:dyDescent="0.25">
      <c r="B69" s="150" t="s">
        <v>23</v>
      </c>
      <c r="C69" s="823" t="s">
        <v>761</v>
      </c>
      <c r="D69" s="851"/>
      <c r="E69" s="807" t="s">
        <v>1585</v>
      </c>
      <c r="F69" s="808"/>
      <c r="G69" s="808"/>
      <c r="H69" s="808"/>
      <c r="I69" s="809"/>
      <c r="J69" s="811" t="s">
        <v>1523</v>
      </c>
      <c r="K69" s="811"/>
      <c r="L69" s="811"/>
      <c r="M69" s="811"/>
      <c r="N69" s="812"/>
    </row>
    <row r="70" spans="2:14" ht="30.75" customHeight="1" x14ac:dyDescent="0.25">
      <c r="B70" s="150" t="s">
        <v>24</v>
      </c>
      <c r="C70" s="823" t="s">
        <v>768</v>
      </c>
      <c r="D70" s="851"/>
      <c r="E70" s="813" t="s">
        <v>1586</v>
      </c>
      <c r="F70" s="813"/>
      <c r="G70" s="813"/>
      <c r="H70" s="813"/>
      <c r="I70" s="813"/>
      <c r="J70" s="807" t="s">
        <v>1587</v>
      </c>
      <c r="K70" s="808"/>
      <c r="L70" s="808"/>
      <c r="M70" s="808"/>
      <c r="N70" s="840"/>
    </row>
    <row r="71" spans="2:14" ht="15" customHeight="1" x14ac:dyDescent="0.25">
      <c r="B71" s="150" t="s">
        <v>25</v>
      </c>
      <c r="C71" s="823" t="s">
        <v>774</v>
      </c>
      <c r="D71" s="851"/>
      <c r="E71" s="813" t="s">
        <v>1588</v>
      </c>
      <c r="F71" s="813"/>
      <c r="G71" s="813"/>
      <c r="H71" s="813"/>
      <c r="I71" s="813"/>
      <c r="J71" s="823" t="s">
        <v>1589</v>
      </c>
      <c r="K71" s="824"/>
      <c r="L71" s="824"/>
      <c r="M71" s="824"/>
      <c r="N71" s="723"/>
    </row>
    <row r="72" spans="2:14" x14ac:dyDescent="0.25">
      <c r="B72" s="816" t="s">
        <v>26</v>
      </c>
      <c r="C72" s="803" t="s">
        <v>1590</v>
      </c>
      <c r="D72" s="804"/>
      <c r="E72" s="813" t="s">
        <v>1591</v>
      </c>
      <c r="F72" s="813"/>
      <c r="G72" s="813"/>
      <c r="H72" s="813"/>
      <c r="I72" s="813"/>
      <c r="J72" s="810" t="s">
        <v>1523</v>
      </c>
      <c r="K72" s="811"/>
      <c r="L72" s="811"/>
      <c r="M72" s="811"/>
      <c r="N72" s="812"/>
    </row>
    <row r="73" spans="2:14" ht="31.5" customHeight="1" x14ac:dyDescent="0.25">
      <c r="B73" s="816"/>
      <c r="C73" s="805"/>
      <c r="D73" s="806"/>
      <c r="E73" s="807" t="s">
        <v>1592</v>
      </c>
      <c r="F73" s="808"/>
      <c r="G73" s="808"/>
      <c r="H73" s="808"/>
      <c r="I73" s="808"/>
      <c r="J73" s="807" t="s">
        <v>1593</v>
      </c>
      <c r="K73" s="808"/>
      <c r="L73" s="808"/>
      <c r="M73" s="808"/>
      <c r="N73" s="840"/>
    </row>
    <row r="74" spans="2:14" ht="30" customHeight="1" x14ac:dyDescent="0.25">
      <c r="B74" s="816" t="s">
        <v>27</v>
      </c>
      <c r="C74" s="803" t="s">
        <v>791</v>
      </c>
      <c r="D74" s="804"/>
      <c r="E74" s="813" t="s">
        <v>1594</v>
      </c>
      <c r="F74" s="813"/>
      <c r="G74" s="813"/>
      <c r="H74" s="813"/>
      <c r="I74" s="813"/>
      <c r="J74" s="811" t="s">
        <v>1523</v>
      </c>
      <c r="K74" s="811"/>
      <c r="L74" s="811"/>
      <c r="M74" s="811"/>
      <c r="N74" s="812"/>
    </row>
    <row r="75" spans="2:14" ht="30" customHeight="1" x14ac:dyDescent="0.25">
      <c r="B75" s="816"/>
      <c r="C75" s="805"/>
      <c r="D75" s="806"/>
      <c r="E75" s="813" t="s">
        <v>1595</v>
      </c>
      <c r="F75" s="813"/>
      <c r="G75" s="813"/>
      <c r="H75" s="813"/>
      <c r="I75" s="813"/>
      <c r="J75" s="807" t="s">
        <v>1596</v>
      </c>
      <c r="K75" s="808"/>
      <c r="L75" s="808"/>
      <c r="M75" s="808"/>
      <c r="N75" s="840"/>
    </row>
    <row r="76" spans="2:14" ht="30" customHeight="1" x14ac:dyDescent="0.25">
      <c r="B76" s="74" t="s">
        <v>28</v>
      </c>
      <c r="C76" s="878" t="s">
        <v>798</v>
      </c>
      <c r="D76" s="879"/>
      <c r="E76" s="862" t="s">
        <v>1597</v>
      </c>
      <c r="F76" s="862"/>
      <c r="G76" s="862"/>
      <c r="H76" s="862"/>
      <c r="I76" s="862"/>
      <c r="J76" s="862" t="s">
        <v>1598</v>
      </c>
      <c r="K76" s="862"/>
      <c r="L76" s="862"/>
      <c r="M76" s="862"/>
      <c r="N76" s="863"/>
    </row>
    <row r="77" spans="2:14" x14ac:dyDescent="0.25">
      <c r="B77" s="11"/>
      <c r="C77" s="24"/>
      <c r="D77" s="24"/>
      <c r="E77" s="24"/>
      <c r="F77" s="1"/>
      <c r="G77" s="1"/>
      <c r="H77" s="1"/>
      <c r="I77" s="1"/>
      <c r="J77" s="25"/>
      <c r="K77" s="25"/>
      <c r="L77" s="25"/>
      <c r="M77" s="25"/>
      <c r="N77" s="25"/>
    </row>
    <row r="78" spans="2:14" ht="15.75" thickBot="1" x14ac:dyDescent="0.3"/>
    <row r="79" spans="2:14" ht="30" customHeight="1" thickBot="1" x14ac:dyDescent="0.3">
      <c r="B79" s="27" t="s">
        <v>120</v>
      </c>
      <c r="C79" s="160" t="s">
        <v>163</v>
      </c>
      <c r="D79" s="63" t="s">
        <v>164</v>
      </c>
      <c r="E79" s="27" t="s">
        <v>165</v>
      </c>
      <c r="F79" s="27" t="s">
        <v>166</v>
      </c>
      <c r="G79" s="27" t="s">
        <v>167</v>
      </c>
      <c r="H79" s="27" t="s">
        <v>156</v>
      </c>
    </row>
    <row r="80" spans="2:14" x14ac:dyDescent="0.25">
      <c r="B80" s="565" t="s">
        <v>685</v>
      </c>
      <c r="C80" s="829" t="s">
        <v>1510</v>
      </c>
      <c r="D80" s="829"/>
      <c r="E80" s="830" t="s">
        <v>1511</v>
      </c>
      <c r="F80" s="831"/>
      <c r="G80" s="831"/>
      <c r="H80" s="831"/>
      <c r="I80" s="831"/>
      <c r="J80" s="830" t="s">
        <v>1512</v>
      </c>
      <c r="K80" s="831"/>
      <c r="L80" s="831"/>
      <c r="M80" s="831"/>
      <c r="N80" s="832"/>
    </row>
    <row r="81" spans="2:14" x14ac:dyDescent="0.25">
      <c r="B81" s="161" t="s">
        <v>44</v>
      </c>
      <c r="C81" s="877" t="s">
        <v>691</v>
      </c>
      <c r="D81" s="877"/>
      <c r="E81" s="877" t="s">
        <v>1599</v>
      </c>
      <c r="F81" s="877"/>
      <c r="G81" s="877"/>
      <c r="H81" s="877"/>
      <c r="I81" s="877"/>
      <c r="J81" s="872" t="s">
        <v>1523</v>
      </c>
      <c r="K81" s="872"/>
      <c r="L81" s="872"/>
      <c r="M81" s="872"/>
      <c r="N81" s="873"/>
    </row>
    <row r="82" spans="2:14" x14ac:dyDescent="0.25">
      <c r="B82" s="150" t="s">
        <v>45</v>
      </c>
      <c r="C82" s="814" t="s">
        <v>877</v>
      </c>
      <c r="D82" s="814"/>
      <c r="E82" s="814" t="s">
        <v>1600</v>
      </c>
      <c r="F82" s="814"/>
      <c r="G82" s="814"/>
      <c r="H82" s="814"/>
      <c r="I82" s="814"/>
      <c r="J82" s="811" t="s">
        <v>1523</v>
      </c>
      <c r="K82" s="811"/>
      <c r="L82" s="811"/>
      <c r="M82" s="811"/>
      <c r="N82" s="812"/>
    </row>
    <row r="83" spans="2:14" x14ac:dyDescent="0.25">
      <c r="B83" s="150" t="s">
        <v>46</v>
      </c>
      <c r="C83" s="814" t="s">
        <v>884</v>
      </c>
      <c r="D83" s="814"/>
      <c r="E83" s="814" t="s">
        <v>1601</v>
      </c>
      <c r="F83" s="814"/>
      <c r="G83" s="814"/>
      <c r="H83" s="814"/>
      <c r="I83" s="814"/>
      <c r="J83" s="811" t="s">
        <v>1523</v>
      </c>
      <c r="K83" s="811"/>
      <c r="L83" s="811"/>
      <c r="M83" s="811"/>
      <c r="N83" s="812"/>
    </row>
    <row r="84" spans="2:14" x14ac:dyDescent="0.25">
      <c r="B84" s="150" t="s">
        <v>47</v>
      </c>
      <c r="C84" s="814" t="s">
        <v>1602</v>
      </c>
      <c r="D84" s="814"/>
      <c r="E84" s="814" t="s">
        <v>1603</v>
      </c>
      <c r="F84" s="814"/>
      <c r="G84" s="814"/>
      <c r="H84" s="814"/>
      <c r="I84" s="814"/>
      <c r="J84" s="811" t="s">
        <v>1523</v>
      </c>
      <c r="K84" s="811"/>
      <c r="L84" s="811"/>
      <c r="M84" s="811"/>
      <c r="N84" s="812"/>
    </row>
    <row r="85" spans="2:14" x14ac:dyDescent="0.25">
      <c r="B85" s="150" t="s">
        <v>49</v>
      </c>
      <c r="C85" s="814" t="s">
        <v>898</v>
      </c>
      <c r="D85" s="814"/>
      <c r="E85" s="814" t="s">
        <v>1604</v>
      </c>
      <c r="F85" s="814"/>
      <c r="G85" s="814"/>
      <c r="H85" s="814"/>
      <c r="I85" s="814"/>
      <c r="J85" s="811" t="s">
        <v>1523</v>
      </c>
      <c r="K85" s="811"/>
      <c r="L85" s="811"/>
      <c r="M85" s="811"/>
      <c r="N85" s="812"/>
    </row>
    <row r="86" spans="2:14" ht="30" customHeight="1" x14ac:dyDescent="0.25">
      <c r="B86" s="150" t="s">
        <v>50</v>
      </c>
      <c r="C86" s="814" t="s">
        <v>905</v>
      </c>
      <c r="D86" s="814"/>
      <c r="E86" s="813" t="s">
        <v>1605</v>
      </c>
      <c r="F86" s="813"/>
      <c r="G86" s="813"/>
      <c r="H86" s="813"/>
      <c r="I86" s="813"/>
      <c r="J86" s="811" t="s">
        <v>1523</v>
      </c>
      <c r="K86" s="811"/>
      <c r="L86" s="811"/>
      <c r="M86" s="811"/>
      <c r="N86" s="812"/>
    </row>
    <row r="87" spans="2:14" x14ac:dyDescent="0.25">
      <c r="B87" s="150" t="s">
        <v>52</v>
      </c>
      <c r="C87" s="814" t="s">
        <v>915</v>
      </c>
      <c r="D87" s="814"/>
      <c r="E87" s="814" t="s">
        <v>1606</v>
      </c>
      <c r="F87" s="814"/>
      <c r="G87" s="814"/>
      <c r="H87" s="814"/>
      <c r="I87" s="814"/>
      <c r="J87" s="811" t="s">
        <v>1523</v>
      </c>
      <c r="K87" s="811"/>
      <c r="L87" s="811"/>
      <c r="M87" s="811"/>
      <c r="N87" s="812"/>
    </row>
    <row r="88" spans="2:14" x14ac:dyDescent="0.25">
      <c r="B88" s="150" t="s">
        <v>54</v>
      </c>
      <c r="C88" s="814" t="s">
        <v>922</v>
      </c>
      <c r="D88" s="814"/>
      <c r="E88" s="814" t="s">
        <v>1607</v>
      </c>
      <c r="F88" s="814"/>
      <c r="G88" s="814"/>
      <c r="H88" s="814"/>
      <c r="I88" s="814"/>
      <c r="J88" s="811" t="s">
        <v>1523</v>
      </c>
      <c r="K88" s="811"/>
      <c r="L88" s="811"/>
      <c r="M88" s="811"/>
      <c r="N88" s="812"/>
    </row>
    <row r="89" spans="2:14" ht="32.25" customHeight="1" x14ac:dyDescent="0.25">
      <c r="B89" s="150" t="s">
        <v>55</v>
      </c>
      <c r="C89" s="814" t="s">
        <v>76</v>
      </c>
      <c r="D89" s="814"/>
      <c r="E89" s="814" t="s">
        <v>1608</v>
      </c>
      <c r="F89" s="814"/>
      <c r="G89" s="814"/>
      <c r="H89" s="814"/>
      <c r="I89" s="814"/>
      <c r="J89" s="813" t="s">
        <v>1609</v>
      </c>
      <c r="K89" s="813"/>
      <c r="L89" s="813"/>
      <c r="M89" s="813"/>
      <c r="N89" s="874"/>
    </row>
    <row r="90" spans="2:14" x14ac:dyDescent="0.25">
      <c r="B90" s="150" t="s">
        <v>56</v>
      </c>
      <c r="C90" s="814" t="s">
        <v>941</v>
      </c>
      <c r="D90" s="814"/>
      <c r="E90" s="814" t="s">
        <v>1610</v>
      </c>
      <c r="F90" s="814"/>
      <c r="G90" s="814"/>
      <c r="H90" s="814"/>
      <c r="I90" s="814"/>
      <c r="J90" s="811" t="s">
        <v>1523</v>
      </c>
      <c r="K90" s="811"/>
      <c r="L90" s="811"/>
      <c r="M90" s="811"/>
      <c r="N90" s="812"/>
    </row>
    <row r="91" spans="2:14" x14ac:dyDescent="0.25">
      <c r="B91" s="150" t="s">
        <v>57</v>
      </c>
      <c r="C91" s="814" t="s">
        <v>948</v>
      </c>
      <c r="D91" s="814"/>
      <c r="E91" s="814" t="s">
        <v>1611</v>
      </c>
      <c r="F91" s="814"/>
      <c r="G91" s="814"/>
      <c r="H91" s="814"/>
      <c r="I91" s="814"/>
      <c r="J91" s="811" t="s">
        <v>1523</v>
      </c>
      <c r="K91" s="811"/>
      <c r="L91" s="811"/>
      <c r="M91" s="811"/>
      <c r="N91" s="812"/>
    </row>
    <row r="92" spans="2:14" ht="30" customHeight="1" x14ac:dyDescent="0.25">
      <c r="B92" s="150" t="s">
        <v>58</v>
      </c>
      <c r="C92" s="814" t="s">
        <v>77</v>
      </c>
      <c r="D92" s="814"/>
      <c r="E92" s="814" t="s">
        <v>1612</v>
      </c>
      <c r="F92" s="814"/>
      <c r="G92" s="814"/>
      <c r="H92" s="814"/>
      <c r="I92" s="814"/>
      <c r="J92" s="813" t="s">
        <v>1613</v>
      </c>
      <c r="K92" s="813"/>
      <c r="L92" s="813"/>
      <c r="M92" s="813"/>
      <c r="N92" s="874"/>
    </row>
    <row r="93" spans="2:14" x14ac:dyDescent="0.25">
      <c r="B93" s="150" t="s">
        <v>59</v>
      </c>
      <c r="C93" s="814" t="s">
        <v>961</v>
      </c>
      <c r="D93" s="814"/>
      <c r="E93" s="814" t="s">
        <v>1614</v>
      </c>
      <c r="F93" s="814"/>
      <c r="G93" s="814"/>
      <c r="H93" s="814"/>
      <c r="I93" s="814"/>
      <c r="J93" s="811" t="s">
        <v>1523</v>
      </c>
      <c r="K93" s="811"/>
      <c r="L93" s="811"/>
      <c r="M93" s="811"/>
      <c r="N93" s="812"/>
    </row>
    <row r="94" spans="2:14" x14ac:dyDescent="0.25">
      <c r="B94" s="150" t="s">
        <v>60</v>
      </c>
      <c r="C94" s="814" t="s">
        <v>1615</v>
      </c>
      <c r="D94" s="814"/>
      <c r="E94" s="814" t="s">
        <v>1616</v>
      </c>
      <c r="F94" s="814"/>
      <c r="G94" s="814"/>
      <c r="H94" s="814"/>
      <c r="I94" s="814"/>
      <c r="J94" s="811" t="s">
        <v>1523</v>
      </c>
      <c r="K94" s="811"/>
      <c r="L94" s="811"/>
      <c r="M94" s="811"/>
      <c r="N94" s="812"/>
    </row>
    <row r="95" spans="2:14" ht="30" customHeight="1" x14ac:dyDescent="0.25">
      <c r="B95" s="150" t="s">
        <v>61</v>
      </c>
      <c r="C95" s="814" t="s">
        <v>80</v>
      </c>
      <c r="D95" s="814"/>
      <c r="E95" s="814" t="s">
        <v>1617</v>
      </c>
      <c r="F95" s="814"/>
      <c r="G95" s="814"/>
      <c r="H95" s="814"/>
      <c r="I95" s="814"/>
      <c r="J95" s="837" t="s">
        <v>1523</v>
      </c>
      <c r="K95" s="875"/>
      <c r="L95" s="875"/>
      <c r="M95" s="875"/>
      <c r="N95" s="876"/>
    </row>
    <row r="96" spans="2:14" ht="24" customHeight="1" x14ac:dyDescent="0.25">
      <c r="B96" s="150" t="s">
        <v>62</v>
      </c>
      <c r="C96" s="814" t="s">
        <v>980</v>
      </c>
      <c r="D96" s="814"/>
      <c r="E96" s="814" t="s">
        <v>1618</v>
      </c>
      <c r="F96" s="814"/>
      <c r="G96" s="814"/>
      <c r="H96" s="814"/>
      <c r="I96" s="814"/>
      <c r="J96" s="813" t="s">
        <v>1619</v>
      </c>
      <c r="K96" s="813"/>
      <c r="L96" s="813"/>
      <c r="M96" s="813"/>
      <c r="N96" s="874"/>
    </row>
    <row r="97" spans="2:14" x14ac:dyDescent="0.25">
      <c r="B97" s="816" t="s">
        <v>63</v>
      </c>
      <c r="C97" s="803" t="s">
        <v>81</v>
      </c>
      <c r="D97" s="804"/>
      <c r="E97" s="813" t="s">
        <v>1620</v>
      </c>
      <c r="F97" s="813"/>
      <c r="G97" s="813"/>
      <c r="H97" s="813"/>
      <c r="I97" s="813"/>
      <c r="J97" s="837" t="s">
        <v>1523</v>
      </c>
      <c r="K97" s="838"/>
      <c r="L97" s="838"/>
      <c r="M97" s="838"/>
      <c r="N97" s="839"/>
    </row>
    <row r="98" spans="2:14" ht="24" customHeight="1" x14ac:dyDescent="0.25">
      <c r="B98" s="816"/>
      <c r="C98" s="805"/>
      <c r="D98" s="806"/>
      <c r="E98" s="807" t="s">
        <v>1621</v>
      </c>
      <c r="F98" s="808"/>
      <c r="G98" s="808"/>
      <c r="H98" s="808"/>
      <c r="I98" s="808"/>
      <c r="J98" s="807" t="s">
        <v>1622</v>
      </c>
      <c r="K98" s="808"/>
      <c r="L98" s="808"/>
      <c r="M98" s="808"/>
      <c r="N98" s="840"/>
    </row>
    <row r="99" spans="2:14" ht="24" customHeight="1" x14ac:dyDescent="0.25">
      <c r="B99" s="816" t="s">
        <v>64</v>
      </c>
      <c r="C99" s="803" t="s">
        <v>994</v>
      </c>
      <c r="D99" s="804"/>
      <c r="E99" s="814" t="s">
        <v>1623</v>
      </c>
      <c r="F99" s="814"/>
      <c r="G99" s="814"/>
      <c r="H99" s="814"/>
      <c r="I99" s="814"/>
      <c r="J99" s="811" t="s">
        <v>1523</v>
      </c>
      <c r="K99" s="811"/>
      <c r="L99" s="811"/>
      <c r="M99" s="811"/>
      <c r="N99" s="812"/>
    </row>
    <row r="100" spans="2:14" ht="24" customHeight="1" x14ac:dyDescent="0.25">
      <c r="B100" s="816"/>
      <c r="C100" s="805"/>
      <c r="D100" s="806"/>
      <c r="E100" s="807" t="s">
        <v>1624</v>
      </c>
      <c r="F100" s="808"/>
      <c r="G100" s="808"/>
      <c r="H100" s="808"/>
      <c r="I100" s="808"/>
      <c r="J100" s="813" t="s">
        <v>1625</v>
      </c>
      <c r="K100" s="813"/>
      <c r="L100" s="813"/>
      <c r="M100" s="813"/>
      <c r="N100" s="874"/>
    </row>
    <row r="101" spans="2:14" ht="30" customHeight="1" x14ac:dyDescent="0.25">
      <c r="B101" s="150" t="s">
        <v>65</v>
      </c>
      <c r="C101" s="814" t="s">
        <v>558</v>
      </c>
      <c r="D101" s="814"/>
      <c r="E101" s="814" t="s">
        <v>1626</v>
      </c>
      <c r="F101" s="814"/>
      <c r="G101" s="814"/>
      <c r="H101" s="814"/>
      <c r="I101" s="814"/>
      <c r="J101" s="813" t="s">
        <v>1627</v>
      </c>
      <c r="K101" s="813"/>
      <c r="L101" s="813"/>
      <c r="M101" s="813"/>
      <c r="N101" s="874"/>
    </row>
    <row r="102" spans="2:14" ht="30" customHeight="1" x14ac:dyDescent="0.25">
      <c r="B102" s="150" t="s">
        <v>53</v>
      </c>
      <c r="C102" s="814" t="s">
        <v>741</v>
      </c>
      <c r="D102" s="814"/>
      <c r="E102" s="814" t="s">
        <v>1582</v>
      </c>
      <c r="F102" s="814"/>
      <c r="G102" s="814"/>
      <c r="H102" s="814"/>
      <c r="I102" s="814"/>
      <c r="J102" s="810" t="s">
        <v>1523</v>
      </c>
      <c r="K102" s="810"/>
      <c r="L102" s="810"/>
      <c r="M102" s="810"/>
      <c r="N102" s="825"/>
    </row>
    <row r="103" spans="2:14" ht="30" customHeight="1" x14ac:dyDescent="0.25">
      <c r="B103" s="74" t="s">
        <v>66</v>
      </c>
      <c r="C103" s="820" t="s">
        <v>1004</v>
      </c>
      <c r="D103" s="820"/>
      <c r="E103" s="820" t="s">
        <v>1628</v>
      </c>
      <c r="F103" s="820"/>
      <c r="G103" s="820"/>
      <c r="H103" s="820"/>
      <c r="I103" s="820"/>
      <c r="J103" s="862" t="s">
        <v>1629</v>
      </c>
      <c r="K103" s="862"/>
      <c r="L103" s="862"/>
      <c r="M103" s="862"/>
      <c r="N103" s="863"/>
    </row>
    <row r="104" spans="2:14" x14ac:dyDescent="0.25">
      <c r="B104" s="11"/>
      <c r="C104" s="24"/>
      <c r="D104" s="24"/>
      <c r="E104" s="28"/>
      <c r="F104" s="28"/>
      <c r="G104" s="28"/>
      <c r="H104" s="28"/>
      <c r="I104" s="28"/>
      <c r="J104" s="28"/>
      <c r="K104" s="28"/>
      <c r="L104" s="28"/>
      <c r="M104" s="28"/>
      <c r="N104" s="28"/>
    </row>
    <row r="105" spans="2:14" ht="15.75" thickBot="1" x14ac:dyDescent="0.3">
      <c r="B105" s="11"/>
      <c r="C105" s="24"/>
      <c r="D105" s="24"/>
      <c r="E105" s="28"/>
      <c r="F105" s="28"/>
      <c r="G105" s="28"/>
      <c r="H105" s="28"/>
      <c r="I105" s="28"/>
      <c r="J105" s="28"/>
      <c r="K105" s="28"/>
      <c r="L105" s="28"/>
      <c r="M105" s="28"/>
      <c r="N105" s="28"/>
    </row>
    <row r="106" spans="2:14" ht="30" customHeight="1" thickBot="1" x14ac:dyDescent="0.3">
      <c r="B106" s="27" t="s">
        <v>120</v>
      </c>
      <c r="C106" s="27" t="s">
        <v>163</v>
      </c>
      <c r="D106" s="98" t="s">
        <v>164</v>
      </c>
      <c r="E106" s="101" t="s">
        <v>165</v>
      </c>
      <c r="F106" s="160" t="s">
        <v>166</v>
      </c>
      <c r="G106" s="27" t="s">
        <v>167</v>
      </c>
      <c r="H106" s="27" t="s">
        <v>156</v>
      </c>
    </row>
    <row r="107" spans="2:14" x14ac:dyDescent="0.25">
      <c r="B107" s="565" t="s">
        <v>685</v>
      </c>
      <c r="C107" s="866" t="s">
        <v>1510</v>
      </c>
      <c r="D107" s="867"/>
      <c r="E107" s="868" t="s">
        <v>1511</v>
      </c>
      <c r="F107" s="831"/>
      <c r="G107" s="831"/>
      <c r="H107" s="831"/>
      <c r="I107" s="831"/>
      <c r="J107" s="830" t="s">
        <v>1512</v>
      </c>
      <c r="K107" s="831"/>
      <c r="L107" s="831"/>
      <c r="M107" s="831"/>
      <c r="N107" s="832"/>
    </row>
    <row r="108" spans="2:14" ht="30" customHeight="1" x14ac:dyDescent="0.25">
      <c r="B108" s="161" t="s">
        <v>91</v>
      </c>
      <c r="C108" s="869" t="s">
        <v>691</v>
      </c>
      <c r="D108" s="870"/>
      <c r="E108" s="871" t="s">
        <v>1630</v>
      </c>
      <c r="F108" s="871"/>
      <c r="G108" s="871"/>
      <c r="H108" s="871"/>
      <c r="I108" s="871"/>
      <c r="J108" s="872" t="s">
        <v>1523</v>
      </c>
      <c r="K108" s="872"/>
      <c r="L108" s="872"/>
      <c r="M108" s="872"/>
      <c r="N108" s="873"/>
    </row>
    <row r="109" spans="2:14" x14ac:dyDescent="0.25">
      <c r="B109" s="150" t="s">
        <v>92</v>
      </c>
      <c r="C109" s="823" t="s">
        <v>1127</v>
      </c>
      <c r="D109" s="851"/>
      <c r="E109" s="814" t="s">
        <v>1631</v>
      </c>
      <c r="F109" s="814"/>
      <c r="G109" s="814"/>
      <c r="H109" s="814"/>
      <c r="I109" s="814"/>
      <c r="J109" s="811" t="s">
        <v>1523</v>
      </c>
      <c r="K109" s="811"/>
      <c r="L109" s="811"/>
      <c r="M109" s="811"/>
      <c r="N109" s="812"/>
    </row>
    <row r="110" spans="2:14" x14ac:dyDescent="0.25">
      <c r="B110" s="150" t="s">
        <v>93</v>
      </c>
      <c r="C110" s="823" t="s">
        <v>1133</v>
      </c>
      <c r="D110" s="851"/>
      <c r="E110" s="814" t="s">
        <v>1632</v>
      </c>
      <c r="F110" s="814"/>
      <c r="G110" s="814"/>
      <c r="H110" s="814"/>
      <c r="I110" s="814"/>
      <c r="J110" s="811" t="s">
        <v>1523</v>
      </c>
      <c r="K110" s="811"/>
      <c r="L110" s="811"/>
      <c r="M110" s="811"/>
      <c r="N110" s="812"/>
    </row>
    <row r="111" spans="2:14" x14ac:dyDescent="0.25">
      <c r="B111" s="150" t="s">
        <v>96</v>
      </c>
      <c r="C111" s="823" t="s">
        <v>748</v>
      </c>
      <c r="D111" s="851"/>
      <c r="E111" s="814" t="s">
        <v>1633</v>
      </c>
      <c r="F111" s="814"/>
      <c r="G111" s="814"/>
      <c r="H111" s="814"/>
      <c r="I111" s="814"/>
      <c r="J111" s="811" t="s">
        <v>1577</v>
      </c>
      <c r="K111" s="811"/>
      <c r="L111" s="811"/>
      <c r="M111" s="811"/>
      <c r="N111" s="812"/>
    </row>
    <row r="112" spans="2:14" x14ac:dyDescent="0.25">
      <c r="B112" s="150" t="s">
        <v>97</v>
      </c>
      <c r="C112" s="823" t="s">
        <v>1141</v>
      </c>
      <c r="D112" s="851"/>
      <c r="E112" s="814" t="s">
        <v>1634</v>
      </c>
      <c r="F112" s="814"/>
      <c r="G112" s="814"/>
      <c r="H112" s="814"/>
      <c r="I112" s="814"/>
      <c r="J112" s="811" t="s">
        <v>1523</v>
      </c>
      <c r="K112" s="811"/>
      <c r="L112" s="811"/>
      <c r="M112" s="811"/>
      <c r="N112" s="812"/>
    </row>
    <row r="113" spans="2:14" x14ac:dyDescent="0.25">
      <c r="B113" s="150" t="s">
        <v>98</v>
      </c>
      <c r="C113" s="823" t="s">
        <v>1635</v>
      </c>
      <c r="D113" s="851"/>
      <c r="E113" s="814" t="s">
        <v>1636</v>
      </c>
      <c r="F113" s="814"/>
      <c r="G113" s="814"/>
      <c r="H113" s="814"/>
      <c r="I113" s="814"/>
      <c r="J113" s="811" t="s">
        <v>1523</v>
      </c>
      <c r="K113" s="811"/>
      <c r="L113" s="811"/>
      <c r="M113" s="811"/>
      <c r="N113" s="812"/>
    </row>
    <row r="114" spans="2:14" x14ac:dyDescent="0.25">
      <c r="B114" s="150" t="s">
        <v>99</v>
      </c>
      <c r="C114" s="823" t="s">
        <v>1147</v>
      </c>
      <c r="D114" s="851"/>
      <c r="E114" s="814" t="s">
        <v>1637</v>
      </c>
      <c r="F114" s="814"/>
      <c r="G114" s="814"/>
      <c r="H114" s="814"/>
      <c r="I114" s="814"/>
      <c r="J114" s="864" t="s">
        <v>1638</v>
      </c>
      <c r="K114" s="864"/>
      <c r="L114" s="864"/>
      <c r="M114" s="864"/>
      <c r="N114" s="865"/>
    </row>
    <row r="115" spans="2:14" ht="15" customHeight="1" x14ac:dyDescent="0.25">
      <c r="B115" s="150" t="s">
        <v>94</v>
      </c>
      <c r="C115" s="823" t="s">
        <v>1152</v>
      </c>
      <c r="D115" s="851"/>
      <c r="E115" s="814" t="s">
        <v>1639</v>
      </c>
      <c r="F115" s="814"/>
      <c r="G115" s="814"/>
      <c r="H115" s="814"/>
      <c r="I115" s="814"/>
      <c r="J115" s="811" t="s">
        <v>1523</v>
      </c>
      <c r="K115" s="811"/>
      <c r="L115" s="811"/>
      <c r="M115" s="811"/>
      <c r="N115" s="812"/>
    </row>
    <row r="116" spans="2:14" ht="24" customHeight="1" x14ac:dyDescent="0.25">
      <c r="B116" s="150" t="s">
        <v>100</v>
      </c>
      <c r="C116" s="823" t="s">
        <v>1158</v>
      </c>
      <c r="D116" s="851"/>
      <c r="E116" s="814" t="s">
        <v>1640</v>
      </c>
      <c r="F116" s="814"/>
      <c r="G116" s="814"/>
      <c r="H116" s="814"/>
      <c r="I116" s="814"/>
      <c r="J116" s="814" t="s">
        <v>1641</v>
      </c>
      <c r="K116" s="814"/>
      <c r="L116" s="814"/>
      <c r="M116" s="814"/>
      <c r="N116" s="815"/>
    </row>
    <row r="117" spans="2:14" ht="24" customHeight="1" x14ac:dyDescent="0.25">
      <c r="B117" s="150" t="s">
        <v>101</v>
      </c>
      <c r="C117" s="823" t="s">
        <v>1164</v>
      </c>
      <c r="D117" s="851"/>
      <c r="E117" s="814" t="s">
        <v>1642</v>
      </c>
      <c r="F117" s="814"/>
      <c r="G117" s="814"/>
      <c r="H117" s="814"/>
      <c r="I117" s="814"/>
      <c r="J117" s="811" t="s">
        <v>1523</v>
      </c>
      <c r="K117" s="811"/>
      <c r="L117" s="811"/>
      <c r="M117" s="811"/>
      <c r="N117" s="812"/>
    </row>
    <row r="118" spans="2:14" ht="24" customHeight="1" x14ac:dyDescent="0.25">
      <c r="B118" s="150" t="s">
        <v>102</v>
      </c>
      <c r="C118" s="823" t="s">
        <v>1170</v>
      </c>
      <c r="D118" s="851"/>
      <c r="E118" s="814" t="s">
        <v>1643</v>
      </c>
      <c r="F118" s="814"/>
      <c r="G118" s="814"/>
      <c r="H118" s="814"/>
      <c r="I118" s="814"/>
      <c r="J118" s="811" t="s">
        <v>1523</v>
      </c>
      <c r="K118" s="811"/>
      <c r="L118" s="811"/>
      <c r="M118" s="811"/>
      <c r="N118" s="812"/>
    </row>
    <row r="119" spans="2:14" ht="28.5" customHeight="1" x14ac:dyDescent="0.25">
      <c r="B119" s="150" t="s">
        <v>95</v>
      </c>
      <c r="C119" s="823" t="s">
        <v>1176</v>
      </c>
      <c r="D119" s="851"/>
      <c r="E119" s="813" t="s">
        <v>1644</v>
      </c>
      <c r="F119" s="813"/>
      <c r="G119" s="813"/>
      <c r="H119" s="813"/>
      <c r="I119" s="813"/>
      <c r="J119" s="835" t="s">
        <v>1645</v>
      </c>
      <c r="K119" s="835"/>
      <c r="L119" s="835"/>
      <c r="M119" s="835"/>
      <c r="N119" s="836"/>
    </row>
    <row r="120" spans="2:14" ht="30" customHeight="1" x14ac:dyDescent="0.25">
      <c r="B120" s="74" t="s">
        <v>103</v>
      </c>
      <c r="C120" s="820" t="s">
        <v>1182</v>
      </c>
      <c r="D120" s="820"/>
      <c r="E120" s="820" t="s">
        <v>1646</v>
      </c>
      <c r="F120" s="820"/>
      <c r="G120" s="820"/>
      <c r="H120" s="820"/>
      <c r="I120" s="820"/>
      <c r="J120" s="862" t="s">
        <v>1647</v>
      </c>
      <c r="K120" s="862"/>
      <c r="L120" s="862"/>
      <c r="M120" s="862"/>
      <c r="N120" s="863"/>
    </row>
    <row r="121" spans="2:14" ht="15" customHeight="1" x14ac:dyDescent="0.25"/>
    <row r="122" spans="2:14" ht="15" customHeight="1" thickBot="1" x14ac:dyDescent="0.3"/>
    <row r="123" spans="2:14" ht="30" customHeight="1" thickBot="1" x14ac:dyDescent="0.3">
      <c r="B123" s="27" t="s">
        <v>120</v>
      </c>
      <c r="C123" s="27" t="s">
        <v>163</v>
      </c>
      <c r="D123" s="27" t="s">
        <v>164</v>
      </c>
      <c r="E123" s="98" t="s">
        <v>165</v>
      </c>
      <c r="F123" s="63" t="s">
        <v>166</v>
      </c>
      <c r="G123" s="160" t="s">
        <v>167</v>
      </c>
      <c r="H123" s="27" t="s">
        <v>156</v>
      </c>
    </row>
    <row r="124" spans="2:14" x14ac:dyDescent="0.25">
      <c r="B124" s="565" t="s">
        <v>685</v>
      </c>
      <c r="C124" s="829" t="s">
        <v>1510</v>
      </c>
      <c r="D124" s="829"/>
      <c r="E124" s="830" t="s">
        <v>1511</v>
      </c>
      <c r="F124" s="858"/>
      <c r="G124" s="831"/>
      <c r="H124" s="831"/>
      <c r="I124" s="831"/>
      <c r="J124" s="830" t="s">
        <v>1512</v>
      </c>
      <c r="K124" s="831"/>
      <c r="L124" s="831"/>
      <c r="M124" s="831"/>
      <c r="N124" s="832"/>
    </row>
    <row r="125" spans="2:14" ht="15" customHeight="1" x14ac:dyDescent="0.25">
      <c r="B125" s="75"/>
      <c r="C125" s="121" t="s">
        <v>1239</v>
      </c>
      <c r="D125" s="120"/>
      <c r="E125" s="859"/>
      <c r="F125" s="859"/>
      <c r="G125" s="859"/>
      <c r="H125" s="859"/>
      <c r="I125" s="859"/>
      <c r="J125" s="860"/>
      <c r="K125" s="860"/>
      <c r="L125" s="860"/>
      <c r="M125" s="860"/>
      <c r="N125" s="861"/>
    </row>
    <row r="126" spans="2:14" ht="15" customHeight="1" x14ac:dyDescent="0.25">
      <c r="B126" s="150"/>
      <c r="C126" s="823" t="s">
        <v>1246</v>
      </c>
      <c r="D126" s="851"/>
      <c r="E126" s="823" t="s">
        <v>1648</v>
      </c>
      <c r="F126" s="824"/>
      <c r="G126" s="824"/>
      <c r="H126" s="824"/>
      <c r="I126" s="851"/>
      <c r="J126" s="852" t="s">
        <v>1523</v>
      </c>
      <c r="K126" s="838"/>
      <c r="L126" s="838"/>
      <c r="M126" s="838"/>
      <c r="N126" s="839"/>
    </row>
    <row r="127" spans="2:14" x14ac:dyDescent="0.25">
      <c r="B127" s="150"/>
      <c r="C127" s="823" t="s">
        <v>1253</v>
      </c>
      <c r="D127" s="851"/>
      <c r="E127" s="823" t="s">
        <v>1649</v>
      </c>
      <c r="F127" s="824"/>
      <c r="G127" s="824"/>
      <c r="H127" s="824"/>
      <c r="I127" s="851"/>
      <c r="J127" s="852" t="s">
        <v>1523</v>
      </c>
      <c r="K127" s="838"/>
      <c r="L127" s="838"/>
      <c r="M127" s="838"/>
      <c r="N127" s="839"/>
    </row>
    <row r="128" spans="2:14" x14ac:dyDescent="0.25">
      <c r="B128" s="150"/>
      <c r="C128" s="823" t="s">
        <v>1260</v>
      </c>
      <c r="D128" s="851"/>
      <c r="E128" s="823" t="s">
        <v>1650</v>
      </c>
      <c r="F128" s="824"/>
      <c r="G128" s="824"/>
      <c r="H128" s="824"/>
      <c r="I128" s="851"/>
      <c r="J128" s="852" t="s">
        <v>1523</v>
      </c>
      <c r="K128" s="838"/>
      <c r="L128" s="838"/>
      <c r="M128" s="838"/>
      <c r="N128" s="839"/>
    </row>
    <row r="129" spans="2:14" x14ac:dyDescent="0.25">
      <c r="B129" s="150"/>
      <c r="C129" s="823" t="s">
        <v>1267</v>
      </c>
      <c r="D129" s="851"/>
      <c r="E129" s="823" t="s">
        <v>1651</v>
      </c>
      <c r="F129" s="824"/>
      <c r="G129" s="824"/>
      <c r="H129" s="824"/>
      <c r="I129" s="851"/>
      <c r="J129" s="852" t="s">
        <v>1523</v>
      </c>
      <c r="K129" s="838"/>
      <c r="L129" s="838"/>
      <c r="M129" s="838"/>
      <c r="N129" s="839"/>
    </row>
    <row r="130" spans="2:14" x14ac:dyDescent="0.25">
      <c r="B130" s="150"/>
      <c r="C130" s="823" t="s">
        <v>1274</v>
      </c>
      <c r="D130" s="851"/>
      <c r="E130" s="823" t="s">
        <v>1652</v>
      </c>
      <c r="F130" s="824"/>
      <c r="G130" s="824"/>
      <c r="H130" s="824"/>
      <c r="I130" s="851"/>
      <c r="J130" s="852" t="s">
        <v>1523</v>
      </c>
      <c r="K130" s="838"/>
      <c r="L130" s="838"/>
      <c r="M130" s="838"/>
      <c r="N130" s="839"/>
    </row>
    <row r="131" spans="2:14" ht="24" customHeight="1" x14ac:dyDescent="0.25">
      <c r="B131" s="150"/>
      <c r="C131" s="823" t="s">
        <v>1274</v>
      </c>
      <c r="D131" s="851"/>
      <c r="E131" s="823" t="s">
        <v>1652</v>
      </c>
      <c r="F131" s="824"/>
      <c r="G131" s="824"/>
      <c r="H131" s="824"/>
      <c r="I131" s="851"/>
      <c r="J131" s="852" t="s">
        <v>1523</v>
      </c>
      <c r="K131" s="838"/>
      <c r="L131" s="838"/>
      <c r="M131" s="838"/>
      <c r="N131" s="839"/>
    </row>
    <row r="132" spans="2:14" x14ac:dyDescent="0.25">
      <c r="B132" s="150"/>
      <c r="C132" s="853" t="s">
        <v>1281</v>
      </c>
      <c r="D132" s="854"/>
      <c r="E132" s="823"/>
      <c r="F132" s="824"/>
      <c r="G132" s="824"/>
      <c r="H132" s="824"/>
      <c r="I132" s="851"/>
      <c r="J132" s="855"/>
      <c r="K132" s="856"/>
      <c r="L132" s="856"/>
      <c r="M132" s="856"/>
      <c r="N132" s="857"/>
    </row>
    <row r="133" spans="2:14" x14ac:dyDescent="0.25">
      <c r="B133" s="150"/>
      <c r="C133" s="823" t="s">
        <v>1288</v>
      </c>
      <c r="D133" s="851"/>
      <c r="E133" s="823" t="s">
        <v>1653</v>
      </c>
      <c r="F133" s="824"/>
      <c r="G133" s="824"/>
      <c r="H133" s="824"/>
      <c r="I133" s="851"/>
      <c r="J133" s="852" t="s">
        <v>1523</v>
      </c>
      <c r="K133" s="838"/>
      <c r="L133" s="838"/>
      <c r="M133" s="838"/>
      <c r="N133" s="839"/>
    </row>
    <row r="134" spans="2:14" x14ac:dyDescent="0.25">
      <c r="B134" s="801"/>
      <c r="C134" s="803" t="s">
        <v>1295</v>
      </c>
      <c r="D134" s="804"/>
      <c r="E134" s="813" t="s">
        <v>1654</v>
      </c>
      <c r="F134" s="814"/>
      <c r="G134" s="814"/>
      <c r="H134" s="814"/>
      <c r="I134" s="814"/>
      <c r="J134" s="837" t="s">
        <v>1523</v>
      </c>
      <c r="K134" s="838"/>
      <c r="L134" s="838"/>
      <c r="M134" s="838"/>
      <c r="N134" s="839"/>
    </row>
    <row r="135" spans="2:14" x14ac:dyDescent="0.25">
      <c r="B135" s="802"/>
      <c r="C135" s="805"/>
      <c r="D135" s="806"/>
      <c r="E135" s="807" t="s">
        <v>1655</v>
      </c>
      <c r="F135" s="808"/>
      <c r="G135" s="808"/>
      <c r="H135" s="808"/>
      <c r="I135" s="808"/>
      <c r="J135" s="807" t="s">
        <v>1656</v>
      </c>
      <c r="K135" s="808"/>
      <c r="L135" s="808"/>
      <c r="M135" s="808"/>
      <c r="N135" s="840"/>
    </row>
    <row r="136" spans="2:14" ht="15" customHeight="1" x14ac:dyDescent="0.25">
      <c r="B136" s="801"/>
      <c r="C136" s="803" t="s">
        <v>1302</v>
      </c>
      <c r="D136" s="804"/>
      <c r="E136" s="813" t="s">
        <v>1657</v>
      </c>
      <c r="F136" s="814"/>
      <c r="G136" s="814"/>
      <c r="H136" s="814"/>
      <c r="I136" s="814"/>
      <c r="J136" s="837" t="s">
        <v>1523</v>
      </c>
      <c r="K136" s="838"/>
      <c r="L136" s="838"/>
      <c r="M136" s="838"/>
      <c r="N136" s="839"/>
    </row>
    <row r="137" spans="2:14" ht="15" customHeight="1" x14ac:dyDescent="0.25">
      <c r="B137" s="802"/>
      <c r="C137" s="805"/>
      <c r="D137" s="806"/>
      <c r="E137" s="813" t="s">
        <v>1658</v>
      </c>
      <c r="F137" s="814"/>
      <c r="G137" s="814"/>
      <c r="H137" s="814"/>
      <c r="I137" s="814"/>
      <c r="J137" s="813" t="s">
        <v>1659</v>
      </c>
      <c r="K137" s="814"/>
      <c r="L137" s="814"/>
      <c r="M137" s="814"/>
      <c r="N137" s="815"/>
    </row>
    <row r="138" spans="2:14" ht="30" customHeight="1" x14ac:dyDescent="0.25">
      <c r="B138" s="801"/>
      <c r="C138" s="803" t="s">
        <v>1309</v>
      </c>
      <c r="D138" s="804"/>
      <c r="E138" s="813" t="s">
        <v>1660</v>
      </c>
      <c r="F138" s="814"/>
      <c r="G138" s="814"/>
      <c r="H138" s="814"/>
      <c r="I138" s="814"/>
      <c r="J138" s="837" t="s">
        <v>1523</v>
      </c>
      <c r="K138" s="838"/>
      <c r="L138" s="838"/>
      <c r="M138" s="838"/>
      <c r="N138" s="839"/>
    </row>
    <row r="139" spans="2:14" ht="15" customHeight="1" x14ac:dyDescent="0.25">
      <c r="B139" s="802"/>
      <c r="C139" s="805"/>
      <c r="D139" s="806"/>
      <c r="E139" s="807" t="s">
        <v>1661</v>
      </c>
      <c r="F139" s="808"/>
      <c r="G139" s="808"/>
      <c r="H139" s="808"/>
      <c r="I139" s="808"/>
      <c r="J139" s="807" t="s">
        <v>1662</v>
      </c>
      <c r="K139" s="808"/>
      <c r="L139" s="808"/>
      <c r="M139" s="808"/>
      <c r="N139" s="840"/>
    </row>
    <row r="140" spans="2:14" ht="15" customHeight="1" x14ac:dyDescent="0.25">
      <c r="B140" s="150"/>
      <c r="C140" s="814" t="s">
        <v>1315</v>
      </c>
      <c r="D140" s="814"/>
      <c r="E140" s="814" t="s">
        <v>1663</v>
      </c>
      <c r="F140" s="814"/>
      <c r="G140" s="814"/>
      <c r="H140" s="814"/>
      <c r="I140" s="814"/>
      <c r="J140" s="811" t="s">
        <v>1523</v>
      </c>
      <c r="K140" s="811"/>
      <c r="L140" s="811"/>
      <c r="M140" s="811"/>
      <c r="N140" s="812"/>
    </row>
    <row r="141" spans="2:14" ht="30" customHeight="1" x14ac:dyDescent="0.25">
      <c r="B141" s="801"/>
      <c r="C141" s="803" t="s">
        <v>1319</v>
      </c>
      <c r="D141" s="804"/>
      <c r="E141" s="813" t="s">
        <v>1664</v>
      </c>
      <c r="F141" s="814"/>
      <c r="G141" s="814"/>
      <c r="H141" s="814"/>
      <c r="I141" s="814"/>
      <c r="J141" s="837" t="s">
        <v>1523</v>
      </c>
      <c r="K141" s="838"/>
      <c r="L141" s="838"/>
      <c r="M141" s="838"/>
      <c r="N141" s="839"/>
    </row>
    <row r="142" spans="2:14" x14ac:dyDescent="0.25">
      <c r="B142" s="802"/>
      <c r="C142" s="805"/>
      <c r="D142" s="806"/>
      <c r="E142" s="807" t="s">
        <v>1665</v>
      </c>
      <c r="F142" s="808"/>
      <c r="G142" s="808"/>
      <c r="H142" s="808"/>
      <c r="I142" s="808"/>
      <c r="J142" s="807" t="s">
        <v>1666</v>
      </c>
      <c r="K142" s="808"/>
      <c r="L142" s="808"/>
      <c r="M142" s="808"/>
      <c r="N142" s="840"/>
    </row>
    <row r="143" spans="2:14" ht="15" customHeight="1" x14ac:dyDescent="0.25">
      <c r="B143" s="150"/>
      <c r="C143" s="814" t="s">
        <v>1326</v>
      </c>
      <c r="D143" s="814"/>
      <c r="E143" s="814" t="s">
        <v>1665</v>
      </c>
      <c r="F143" s="814"/>
      <c r="G143" s="814"/>
      <c r="H143" s="814"/>
      <c r="I143" s="814"/>
      <c r="J143" s="823" t="s">
        <v>1667</v>
      </c>
      <c r="K143" s="824"/>
      <c r="L143" s="824"/>
      <c r="M143" s="824"/>
      <c r="N143" s="723"/>
    </row>
    <row r="144" spans="2:14" ht="30" customHeight="1" x14ac:dyDescent="0.25">
      <c r="B144" s="150"/>
      <c r="C144" s="814" t="s">
        <v>1340</v>
      </c>
      <c r="D144" s="814"/>
      <c r="E144" s="814" t="s">
        <v>1668</v>
      </c>
      <c r="F144" s="814"/>
      <c r="G144" s="814"/>
      <c r="H144" s="814"/>
      <c r="I144" s="814"/>
      <c r="J144" s="811" t="s">
        <v>1523</v>
      </c>
      <c r="K144" s="811"/>
      <c r="L144" s="811"/>
      <c r="M144" s="811"/>
      <c r="N144" s="812"/>
    </row>
    <row r="145" spans="1:14" ht="30" customHeight="1" x14ac:dyDescent="0.25">
      <c r="B145" s="150"/>
      <c r="C145" s="814" t="s">
        <v>1347</v>
      </c>
      <c r="D145" s="814"/>
      <c r="E145" s="814" t="s">
        <v>1669</v>
      </c>
      <c r="F145" s="814"/>
      <c r="G145" s="814"/>
      <c r="H145" s="814"/>
      <c r="I145" s="814"/>
      <c r="J145" s="811" t="s">
        <v>1523</v>
      </c>
      <c r="K145" s="811"/>
      <c r="L145" s="811"/>
      <c r="M145" s="811"/>
      <c r="N145" s="812"/>
    </row>
    <row r="146" spans="1:14" s="100" customFormat="1" ht="30" customHeight="1" x14ac:dyDescent="0.25">
      <c r="A146"/>
      <c r="B146" s="150"/>
      <c r="C146" s="814" t="s">
        <v>1354</v>
      </c>
      <c r="D146" s="814"/>
      <c r="E146" s="814" t="s">
        <v>1670</v>
      </c>
      <c r="F146" s="814"/>
      <c r="G146" s="814"/>
      <c r="H146" s="814"/>
      <c r="I146" s="814"/>
      <c r="J146" s="811" t="s">
        <v>1523</v>
      </c>
      <c r="K146" s="811"/>
      <c r="L146" s="811"/>
      <c r="M146" s="811"/>
      <c r="N146" s="812"/>
    </row>
    <row r="147" spans="1:14" ht="30" customHeight="1" x14ac:dyDescent="0.25">
      <c r="B147" s="150"/>
      <c r="C147" s="814" t="s">
        <v>1361</v>
      </c>
      <c r="D147" s="814"/>
      <c r="E147" s="814" t="s">
        <v>1671</v>
      </c>
      <c r="F147" s="814"/>
      <c r="G147" s="814"/>
      <c r="H147" s="814"/>
      <c r="I147" s="814"/>
      <c r="J147" s="807" t="s">
        <v>1672</v>
      </c>
      <c r="K147" s="808"/>
      <c r="L147" s="808"/>
      <c r="M147" s="808"/>
      <c r="N147" s="840"/>
    </row>
    <row r="148" spans="1:14" x14ac:dyDescent="0.25">
      <c r="B148" s="150"/>
      <c r="C148" s="814" t="s">
        <v>1368</v>
      </c>
      <c r="D148" s="814"/>
      <c r="E148" s="814" t="s">
        <v>1673</v>
      </c>
      <c r="F148" s="814"/>
      <c r="G148" s="814"/>
      <c r="H148" s="814"/>
      <c r="I148" s="814"/>
      <c r="J148" s="811" t="s">
        <v>1523</v>
      </c>
      <c r="K148" s="811"/>
      <c r="L148" s="811"/>
      <c r="M148" s="811"/>
      <c r="N148" s="812"/>
    </row>
    <row r="149" spans="1:14" x14ac:dyDescent="0.25">
      <c r="B149" s="150"/>
      <c r="C149" s="814" t="s">
        <v>1333</v>
      </c>
      <c r="D149" s="814"/>
      <c r="E149" s="814" t="s">
        <v>1674</v>
      </c>
      <c r="F149" s="814"/>
      <c r="G149" s="814"/>
      <c r="H149" s="814"/>
      <c r="I149" s="814"/>
      <c r="J149" s="823" t="s">
        <v>1675</v>
      </c>
      <c r="K149" s="824"/>
      <c r="L149" s="824"/>
      <c r="M149" s="824"/>
      <c r="N149" s="723"/>
    </row>
    <row r="150" spans="1:14" ht="15" customHeight="1" x14ac:dyDescent="0.25">
      <c r="B150" s="150"/>
      <c r="C150" s="834" t="s">
        <v>1379</v>
      </c>
      <c r="D150" s="834"/>
      <c r="E150" s="814"/>
      <c r="F150" s="814"/>
      <c r="G150" s="814"/>
      <c r="H150" s="814"/>
      <c r="I150" s="814"/>
      <c r="J150" s="835"/>
      <c r="K150" s="835"/>
      <c r="L150" s="835"/>
      <c r="M150" s="835"/>
      <c r="N150" s="836"/>
    </row>
    <row r="151" spans="1:14" ht="30" customHeight="1" x14ac:dyDescent="0.25">
      <c r="B151" s="150"/>
      <c r="C151" s="814" t="s">
        <v>1386</v>
      </c>
      <c r="D151" s="814"/>
      <c r="E151" s="814" t="s">
        <v>1676</v>
      </c>
      <c r="F151" s="814"/>
      <c r="G151" s="814"/>
      <c r="H151" s="814"/>
      <c r="I151" s="814"/>
      <c r="J151" s="811" t="s">
        <v>1523</v>
      </c>
      <c r="K151" s="811"/>
      <c r="L151" s="811"/>
      <c r="M151" s="811"/>
      <c r="N151" s="812"/>
    </row>
    <row r="152" spans="1:14" ht="15" customHeight="1" x14ac:dyDescent="0.25">
      <c r="B152" s="801"/>
      <c r="C152" s="803" t="s">
        <v>1393</v>
      </c>
      <c r="D152" s="804"/>
      <c r="E152" s="813" t="s">
        <v>1677</v>
      </c>
      <c r="F152" s="814"/>
      <c r="G152" s="814"/>
      <c r="H152" s="814"/>
      <c r="I152" s="814"/>
      <c r="J152" s="837" t="s">
        <v>1523</v>
      </c>
      <c r="K152" s="838"/>
      <c r="L152" s="838"/>
      <c r="M152" s="838"/>
      <c r="N152" s="839"/>
    </row>
    <row r="153" spans="1:14" ht="15" customHeight="1" x14ac:dyDescent="0.25">
      <c r="B153" s="841"/>
      <c r="C153" s="842"/>
      <c r="D153" s="843"/>
      <c r="E153" s="844" t="s">
        <v>1678</v>
      </c>
      <c r="F153" s="845"/>
      <c r="G153" s="845"/>
      <c r="H153" s="845"/>
      <c r="I153" s="845"/>
      <c r="J153" s="807" t="s">
        <v>1679</v>
      </c>
      <c r="K153" s="808"/>
      <c r="L153" s="808"/>
      <c r="M153" s="808"/>
      <c r="N153" s="840"/>
    </row>
    <row r="154" spans="1:14" ht="30" customHeight="1" x14ac:dyDescent="0.25">
      <c r="B154" s="802"/>
      <c r="C154" s="805"/>
      <c r="D154" s="806"/>
      <c r="E154" s="846"/>
      <c r="F154" s="847"/>
      <c r="G154" s="847"/>
      <c r="H154" s="847"/>
      <c r="I154" s="847"/>
      <c r="J154" s="807" t="s">
        <v>1680</v>
      </c>
      <c r="K154" s="808"/>
      <c r="L154" s="808"/>
      <c r="M154" s="808"/>
      <c r="N154" s="840"/>
    </row>
    <row r="155" spans="1:14" ht="24" customHeight="1" x14ac:dyDescent="0.25">
      <c r="B155" s="801"/>
      <c r="C155" s="803" t="s">
        <v>1400</v>
      </c>
      <c r="D155" s="804"/>
      <c r="E155" s="813" t="s">
        <v>1681</v>
      </c>
      <c r="F155" s="814"/>
      <c r="G155" s="814"/>
      <c r="H155" s="814"/>
      <c r="I155" s="814"/>
      <c r="J155" s="837" t="s">
        <v>1523</v>
      </c>
      <c r="K155" s="838"/>
      <c r="L155" s="838"/>
      <c r="M155" s="838"/>
      <c r="N155" s="839"/>
    </row>
    <row r="156" spans="1:14" ht="24" customHeight="1" x14ac:dyDescent="0.25">
      <c r="B156" s="841"/>
      <c r="C156" s="842"/>
      <c r="D156" s="843"/>
      <c r="E156" s="844" t="s">
        <v>1682</v>
      </c>
      <c r="F156" s="845"/>
      <c r="G156" s="845"/>
      <c r="H156" s="845"/>
      <c r="I156" s="845"/>
      <c r="J156" s="807" t="s">
        <v>1683</v>
      </c>
      <c r="K156" s="808"/>
      <c r="L156" s="808"/>
      <c r="M156" s="808"/>
      <c r="N156" s="840"/>
    </row>
    <row r="157" spans="1:14" ht="30" customHeight="1" x14ac:dyDescent="0.25">
      <c r="B157" s="802"/>
      <c r="C157" s="805"/>
      <c r="D157" s="806"/>
      <c r="E157" s="846"/>
      <c r="F157" s="847"/>
      <c r="G157" s="847"/>
      <c r="H157" s="847"/>
      <c r="I157" s="847"/>
      <c r="J157" s="807" t="s">
        <v>1684</v>
      </c>
      <c r="K157" s="808"/>
      <c r="L157" s="808"/>
      <c r="M157" s="808"/>
      <c r="N157" s="840"/>
    </row>
    <row r="158" spans="1:14" x14ac:dyDescent="0.25">
      <c r="B158" s="150"/>
      <c r="C158" s="814" t="s">
        <v>1407</v>
      </c>
      <c r="D158" s="814"/>
      <c r="E158" s="814" t="s">
        <v>1685</v>
      </c>
      <c r="F158" s="814"/>
      <c r="G158" s="814"/>
      <c r="H158" s="814"/>
      <c r="I158" s="814"/>
      <c r="J158" s="811" t="s">
        <v>1523</v>
      </c>
      <c r="K158" s="811"/>
      <c r="L158" s="811"/>
      <c r="M158" s="811"/>
      <c r="N158" s="812"/>
    </row>
    <row r="159" spans="1:14" x14ac:dyDescent="0.25">
      <c r="B159" s="801"/>
      <c r="C159" s="803" t="s">
        <v>1414</v>
      </c>
      <c r="D159" s="804"/>
      <c r="E159" s="813" t="s">
        <v>1686</v>
      </c>
      <c r="F159" s="814"/>
      <c r="G159" s="814"/>
      <c r="H159" s="814"/>
      <c r="I159" s="814"/>
      <c r="J159" s="837" t="s">
        <v>1523</v>
      </c>
      <c r="K159" s="838"/>
      <c r="L159" s="838"/>
      <c r="M159" s="838"/>
      <c r="N159" s="839"/>
    </row>
    <row r="160" spans="1:14" ht="30" customHeight="1" x14ac:dyDescent="0.25">
      <c r="B160" s="841"/>
      <c r="C160" s="842"/>
      <c r="D160" s="843"/>
      <c r="E160" s="844" t="s">
        <v>1687</v>
      </c>
      <c r="F160" s="845"/>
      <c r="G160" s="845"/>
      <c r="H160" s="845"/>
      <c r="I160" s="845"/>
      <c r="J160" s="848" t="s">
        <v>1688</v>
      </c>
      <c r="K160" s="849"/>
      <c r="L160" s="849"/>
      <c r="M160" s="849"/>
      <c r="N160" s="850"/>
    </row>
    <row r="161" spans="2:14" ht="30" customHeight="1" x14ac:dyDescent="0.25">
      <c r="B161" s="802"/>
      <c r="C161" s="805"/>
      <c r="D161" s="806"/>
      <c r="E161" s="846"/>
      <c r="F161" s="847"/>
      <c r="G161" s="847"/>
      <c r="H161" s="847"/>
      <c r="I161" s="847"/>
      <c r="J161" s="848" t="s">
        <v>1689</v>
      </c>
      <c r="K161" s="849"/>
      <c r="L161" s="849"/>
      <c r="M161" s="849"/>
      <c r="N161" s="850"/>
    </row>
    <row r="162" spans="2:14" ht="45" customHeight="1" x14ac:dyDescent="0.25">
      <c r="B162" s="99"/>
      <c r="C162" s="813" t="s">
        <v>1421</v>
      </c>
      <c r="D162" s="813"/>
      <c r="E162" s="813" t="s">
        <v>1687</v>
      </c>
      <c r="F162" s="813"/>
      <c r="G162" s="813"/>
      <c r="H162" s="813"/>
      <c r="I162" s="813"/>
      <c r="J162" s="807" t="s">
        <v>1690</v>
      </c>
      <c r="K162" s="808"/>
      <c r="L162" s="808"/>
      <c r="M162" s="808"/>
      <c r="N162" s="840"/>
    </row>
    <row r="163" spans="2:14" x14ac:dyDescent="0.25">
      <c r="B163" s="150"/>
      <c r="C163" s="834" t="s">
        <v>1428</v>
      </c>
      <c r="D163" s="834"/>
      <c r="E163" s="814"/>
      <c r="F163" s="814"/>
      <c r="G163" s="814"/>
      <c r="H163" s="814"/>
      <c r="I163" s="814"/>
      <c r="J163" s="835"/>
      <c r="K163" s="835"/>
      <c r="L163" s="835"/>
      <c r="M163" s="835"/>
      <c r="N163" s="836"/>
    </row>
    <row r="164" spans="2:14" x14ac:dyDescent="0.25">
      <c r="B164" s="150"/>
      <c r="C164" s="814" t="s">
        <v>1435</v>
      </c>
      <c r="D164" s="814"/>
      <c r="E164" s="814" t="s">
        <v>1691</v>
      </c>
      <c r="F164" s="814"/>
      <c r="G164" s="814"/>
      <c r="H164" s="814"/>
      <c r="I164" s="814"/>
      <c r="J164" s="811" t="s">
        <v>1523</v>
      </c>
      <c r="K164" s="811"/>
      <c r="L164" s="811"/>
      <c r="M164" s="811"/>
      <c r="N164" s="812"/>
    </row>
    <row r="165" spans="2:14" x14ac:dyDescent="0.25">
      <c r="B165" s="150"/>
      <c r="C165" s="814" t="s">
        <v>1442</v>
      </c>
      <c r="D165" s="814"/>
      <c r="E165" s="814" t="s">
        <v>1692</v>
      </c>
      <c r="F165" s="814"/>
      <c r="G165" s="814"/>
      <c r="H165" s="814"/>
      <c r="I165" s="814"/>
      <c r="J165" s="811" t="s">
        <v>1523</v>
      </c>
      <c r="K165" s="811"/>
      <c r="L165" s="811"/>
      <c r="M165" s="811"/>
      <c r="N165" s="812"/>
    </row>
    <row r="166" spans="2:14" x14ac:dyDescent="0.25">
      <c r="B166" s="801"/>
      <c r="C166" s="803" t="s">
        <v>1449</v>
      </c>
      <c r="D166" s="804"/>
      <c r="E166" s="813" t="s">
        <v>1693</v>
      </c>
      <c r="F166" s="814"/>
      <c r="G166" s="814"/>
      <c r="H166" s="814"/>
      <c r="I166" s="814"/>
      <c r="J166" s="837" t="s">
        <v>1523</v>
      </c>
      <c r="K166" s="838"/>
      <c r="L166" s="838"/>
      <c r="M166" s="838"/>
      <c r="N166" s="839"/>
    </row>
    <row r="167" spans="2:14" ht="30" customHeight="1" x14ac:dyDescent="0.25">
      <c r="B167" s="841"/>
      <c r="C167" s="842"/>
      <c r="D167" s="843"/>
      <c r="E167" s="844" t="s">
        <v>1694</v>
      </c>
      <c r="F167" s="845"/>
      <c r="G167" s="845"/>
      <c r="H167" s="845"/>
      <c r="I167" s="845"/>
      <c r="J167" s="807" t="s">
        <v>1695</v>
      </c>
      <c r="K167" s="808"/>
      <c r="L167" s="808"/>
      <c r="M167" s="808"/>
      <c r="N167" s="840"/>
    </row>
    <row r="168" spans="2:14" x14ac:dyDescent="0.25">
      <c r="B168" s="802"/>
      <c r="C168" s="805"/>
      <c r="D168" s="806"/>
      <c r="E168" s="846"/>
      <c r="F168" s="847"/>
      <c r="G168" s="847"/>
      <c r="H168" s="847"/>
      <c r="I168" s="847"/>
      <c r="J168" s="807" t="s">
        <v>1696</v>
      </c>
      <c r="K168" s="808"/>
      <c r="L168" s="808"/>
      <c r="M168" s="808"/>
      <c r="N168" s="840"/>
    </row>
    <row r="169" spans="2:14" x14ac:dyDescent="0.25">
      <c r="B169" s="801"/>
      <c r="C169" s="803" t="s">
        <v>1456</v>
      </c>
      <c r="D169" s="804"/>
      <c r="E169" s="813" t="s">
        <v>1697</v>
      </c>
      <c r="F169" s="814"/>
      <c r="G169" s="814"/>
      <c r="H169" s="814"/>
      <c r="I169" s="814"/>
      <c r="J169" s="837" t="s">
        <v>1523</v>
      </c>
      <c r="K169" s="838"/>
      <c r="L169" s="838"/>
      <c r="M169" s="838"/>
      <c r="N169" s="839"/>
    </row>
    <row r="170" spans="2:14" x14ac:dyDescent="0.25">
      <c r="B170" s="802"/>
      <c r="C170" s="805"/>
      <c r="D170" s="806"/>
      <c r="E170" s="807" t="s">
        <v>1698</v>
      </c>
      <c r="F170" s="808"/>
      <c r="G170" s="808"/>
      <c r="H170" s="808"/>
      <c r="I170" s="808"/>
      <c r="J170" s="807" t="s">
        <v>1699</v>
      </c>
      <c r="K170" s="808"/>
      <c r="L170" s="808"/>
      <c r="M170" s="808"/>
      <c r="N170" s="840"/>
    </row>
    <row r="171" spans="2:14" x14ac:dyDescent="0.25">
      <c r="B171" s="801"/>
      <c r="C171" s="803" t="s">
        <v>1463</v>
      </c>
      <c r="D171" s="804"/>
      <c r="E171" s="813" t="s">
        <v>1700</v>
      </c>
      <c r="F171" s="814"/>
      <c r="G171" s="814"/>
      <c r="H171" s="814"/>
      <c r="I171" s="814"/>
      <c r="J171" s="837" t="s">
        <v>1523</v>
      </c>
      <c r="K171" s="838"/>
      <c r="L171" s="838"/>
      <c r="M171" s="838"/>
      <c r="N171" s="839"/>
    </row>
    <row r="172" spans="2:14" x14ac:dyDescent="0.25">
      <c r="B172" s="802"/>
      <c r="C172" s="805"/>
      <c r="D172" s="806"/>
      <c r="E172" s="807" t="s">
        <v>1701</v>
      </c>
      <c r="F172" s="808"/>
      <c r="G172" s="808"/>
      <c r="H172" s="808"/>
      <c r="I172" s="808"/>
      <c r="J172" s="807" t="s">
        <v>1702</v>
      </c>
      <c r="K172" s="808"/>
      <c r="L172" s="808"/>
      <c r="M172" s="808"/>
      <c r="N172" s="840"/>
    </row>
    <row r="173" spans="2:14" x14ac:dyDescent="0.25">
      <c r="B173" s="150"/>
      <c r="C173" s="814" t="s">
        <v>1470</v>
      </c>
      <c r="D173" s="814"/>
      <c r="E173" s="814" t="s">
        <v>1703</v>
      </c>
      <c r="F173" s="814"/>
      <c r="G173" s="814"/>
      <c r="H173" s="814"/>
      <c r="I173" s="814"/>
      <c r="J173" s="823" t="s">
        <v>1704</v>
      </c>
      <c r="K173" s="824"/>
      <c r="L173" s="824"/>
      <c r="M173" s="824"/>
      <c r="N173" s="723"/>
    </row>
    <row r="174" spans="2:14" x14ac:dyDescent="0.25">
      <c r="B174" s="150"/>
      <c r="C174" s="834" t="s">
        <v>140</v>
      </c>
      <c r="D174" s="834"/>
      <c r="E174" s="814"/>
      <c r="F174" s="814"/>
      <c r="G174" s="814"/>
      <c r="H174" s="814"/>
      <c r="I174" s="814"/>
      <c r="J174" s="835"/>
      <c r="K174" s="835"/>
      <c r="L174" s="835"/>
      <c r="M174" s="835"/>
      <c r="N174" s="836"/>
    </row>
    <row r="175" spans="2:14" x14ac:dyDescent="0.25">
      <c r="B175" s="74"/>
      <c r="C175" s="820" t="s">
        <v>1479</v>
      </c>
      <c r="D175" s="820"/>
      <c r="E175" s="820" t="s">
        <v>1705</v>
      </c>
      <c r="F175" s="820"/>
      <c r="G175" s="820"/>
      <c r="H175" s="820"/>
      <c r="I175" s="820"/>
      <c r="J175" s="820" t="s">
        <v>1706</v>
      </c>
      <c r="K175" s="820"/>
      <c r="L175" s="820"/>
      <c r="M175" s="820"/>
      <c r="N175" s="833"/>
    </row>
    <row r="176" spans="2:14" x14ac:dyDescent="0.25">
      <c r="B176" s="30"/>
      <c r="C176" s="22"/>
      <c r="D176" s="22"/>
      <c r="E176" s="9"/>
      <c r="F176" s="9"/>
      <c r="G176" s="9"/>
      <c r="H176" s="9"/>
      <c r="I176" s="9"/>
      <c r="J176" s="23"/>
      <c r="K176" s="23"/>
      <c r="L176" s="23"/>
      <c r="M176" s="23"/>
      <c r="N176" s="23"/>
    </row>
    <row r="177" spans="2:14" ht="15.75" thickBot="1" x14ac:dyDescent="0.3"/>
    <row r="178" spans="2:14" ht="30" customHeight="1" thickBot="1" x14ac:dyDescent="0.3">
      <c r="B178" s="27" t="s">
        <v>120</v>
      </c>
      <c r="C178" s="160" t="s">
        <v>163</v>
      </c>
      <c r="D178" s="160" t="s">
        <v>164</v>
      </c>
      <c r="E178" s="27" t="s">
        <v>165</v>
      </c>
      <c r="F178" s="27" t="s">
        <v>166</v>
      </c>
      <c r="G178" s="63" t="s">
        <v>167</v>
      </c>
      <c r="H178" s="27" t="s">
        <v>156</v>
      </c>
    </row>
    <row r="179" spans="2:14" ht="15" customHeight="1" x14ac:dyDescent="0.25">
      <c r="B179" s="565" t="s">
        <v>685</v>
      </c>
      <c r="C179" s="829" t="s">
        <v>1510</v>
      </c>
      <c r="D179" s="829"/>
      <c r="E179" s="830" t="s">
        <v>1511</v>
      </c>
      <c r="F179" s="831"/>
      <c r="G179" s="831"/>
      <c r="H179" s="831"/>
      <c r="I179" s="831"/>
      <c r="J179" s="830" t="s">
        <v>1512</v>
      </c>
      <c r="K179" s="831"/>
      <c r="L179" s="831"/>
      <c r="M179" s="831"/>
      <c r="N179" s="832"/>
    </row>
    <row r="180" spans="2:14" x14ac:dyDescent="0.25">
      <c r="B180" s="826" t="s">
        <v>1707</v>
      </c>
      <c r="C180" s="827"/>
      <c r="D180" s="827"/>
      <c r="E180" s="827"/>
      <c r="F180" s="827"/>
      <c r="G180" s="827"/>
      <c r="H180" s="827"/>
      <c r="I180" s="827"/>
      <c r="J180" s="827"/>
      <c r="K180" s="827"/>
      <c r="L180" s="827"/>
      <c r="M180" s="827"/>
      <c r="N180" s="828"/>
    </row>
    <row r="182" spans="2:14" ht="15.75" thickBot="1" x14ac:dyDescent="0.3"/>
    <row r="183" spans="2:14" ht="30" customHeight="1" thickBot="1" x14ac:dyDescent="0.3">
      <c r="B183" s="27" t="s">
        <v>120</v>
      </c>
      <c r="C183" s="27" t="s">
        <v>163</v>
      </c>
      <c r="D183" s="27" t="s">
        <v>164</v>
      </c>
      <c r="E183" s="27" t="s">
        <v>165</v>
      </c>
      <c r="F183" s="27" t="s">
        <v>166</v>
      </c>
      <c r="G183" s="98" t="s">
        <v>167</v>
      </c>
      <c r="H183" s="63" t="s">
        <v>156</v>
      </c>
    </row>
    <row r="184" spans="2:14" ht="15" customHeight="1" x14ac:dyDescent="0.25">
      <c r="B184" s="565" t="s">
        <v>685</v>
      </c>
      <c r="C184" s="829" t="s">
        <v>1510</v>
      </c>
      <c r="D184" s="829"/>
      <c r="E184" s="830" t="s">
        <v>1511</v>
      </c>
      <c r="F184" s="831"/>
      <c r="G184" s="831"/>
      <c r="H184" s="831"/>
      <c r="I184" s="831"/>
      <c r="J184" s="830" t="s">
        <v>1512</v>
      </c>
      <c r="K184" s="831"/>
      <c r="L184" s="831"/>
      <c r="M184" s="831"/>
      <c r="N184" s="832"/>
    </row>
    <row r="185" spans="2:14" x14ac:dyDescent="0.25">
      <c r="B185" s="826" t="s">
        <v>1708</v>
      </c>
      <c r="C185" s="827"/>
      <c r="D185" s="827"/>
      <c r="E185" s="827"/>
      <c r="F185" s="827"/>
      <c r="G185" s="827"/>
      <c r="H185" s="827"/>
      <c r="I185" s="827"/>
      <c r="J185" s="827"/>
      <c r="K185" s="827"/>
      <c r="L185" s="827"/>
      <c r="M185" s="827"/>
      <c r="N185" s="828"/>
    </row>
  </sheetData>
  <mergeCells count="439">
    <mergeCell ref="C28:D28"/>
    <mergeCell ref="E28:I28"/>
    <mergeCell ref="J28:N28"/>
    <mergeCell ref="C29:D29"/>
    <mergeCell ref="E29:I29"/>
    <mergeCell ref="J29:N29"/>
    <mergeCell ref="C19:D19"/>
    <mergeCell ref="E19:I19"/>
    <mergeCell ref="J19:N19"/>
    <mergeCell ref="C17:D17"/>
    <mergeCell ref="E17:I17"/>
    <mergeCell ref="J17:N17"/>
    <mergeCell ref="C18:D18"/>
    <mergeCell ref="E18:I18"/>
    <mergeCell ref="J18:N18"/>
    <mergeCell ref="C27:D27"/>
    <mergeCell ref="E27:I27"/>
    <mergeCell ref="J27:N27"/>
    <mergeCell ref="E26:I26"/>
    <mergeCell ref="J26:N26"/>
    <mergeCell ref="C55:D55"/>
    <mergeCell ref="E55:I55"/>
    <mergeCell ref="J55:N55"/>
    <mergeCell ref="C20:D20"/>
    <mergeCell ref="E20:I20"/>
    <mergeCell ref="J20:N20"/>
    <mergeCell ref="E21:I21"/>
    <mergeCell ref="J21:N21"/>
    <mergeCell ref="C22:D22"/>
    <mergeCell ref="E22:I22"/>
    <mergeCell ref="J22:N22"/>
    <mergeCell ref="C23:D23"/>
    <mergeCell ref="E23:I23"/>
    <mergeCell ref="J23:N23"/>
    <mergeCell ref="C24:D24"/>
    <mergeCell ref="E24:I24"/>
    <mergeCell ref="J24:N24"/>
    <mergeCell ref="C25:D25"/>
    <mergeCell ref="E25:I25"/>
    <mergeCell ref="J25:N25"/>
    <mergeCell ref="C26:D26"/>
    <mergeCell ref="C30:D30"/>
    <mergeCell ref="E30:I30"/>
    <mergeCell ref="J30:N30"/>
    <mergeCell ref="C58:D58"/>
    <mergeCell ref="E58:I58"/>
    <mergeCell ref="J58:N58"/>
    <mergeCell ref="C59:D59"/>
    <mergeCell ref="E59:I59"/>
    <mergeCell ref="J59:N59"/>
    <mergeCell ref="C56:D56"/>
    <mergeCell ref="E56:I56"/>
    <mergeCell ref="J56:N56"/>
    <mergeCell ref="C57:D57"/>
    <mergeCell ref="E57:I57"/>
    <mergeCell ref="J57:N57"/>
    <mergeCell ref="C62:D62"/>
    <mergeCell ref="E62:I62"/>
    <mergeCell ref="J62:N62"/>
    <mergeCell ref="C63:D63"/>
    <mergeCell ref="E63:I63"/>
    <mergeCell ref="J63:N63"/>
    <mergeCell ref="C60:D60"/>
    <mergeCell ref="E60:I60"/>
    <mergeCell ref="J60:N60"/>
    <mergeCell ref="C61:D61"/>
    <mergeCell ref="E61:I61"/>
    <mergeCell ref="J61:N61"/>
    <mergeCell ref="C65:D65"/>
    <mergeCell ref="E65:I65"/>
    <mergeCell ref="J65:N65"/>
    <mergeCell ref="C66:D66"/>
    <mergeCell ref="E66:I66"/>
    <mergeCell ref="J66:N66"/>
    <mergeCell ref="C64:D64"/>
    <mergeCell ref="E64:I64"/>
    <mergeCell ref="J64:N64"/>
    <mergeCell ref="C68:D68"/>
    <mergeCell ref="E68:I68"/>
    <mergeCell ref="J68:N68"/>
    <mergeCell ref="C69:D69"/>
    <mergeCell ref="E69:I69"/>
    <mergeCell ref="J69:N69"/>
    <mergeCell ref="C67:D67"/>
    <mergeCell ref="E67:I67"/>
    <mergeCell ref="J67:N67"/>
    <mergeCell ref="B72:B73"/>
    <mergeCell ref="C72:D73"/>
    <mergeCell ref="E72:I72"/>
    <mergeCell ref="J72:N72"/>
    <mergeCell ref="E73:I73"/>
    <mergeCell ref="J73:N73"/>
    <mergeCell ref="C70:D70"/>
    <mergeCell ref="E70:I70"/>
    <mergeCell ref="J70:N70"/>
    <mergeCell ref="C71:D71"/>
    <mergeCell ref="E71:I71"/>
    <mergeCell ref="J71:N71"/>
    <mergeCell ref="C76:D76"/>
    <mergeCell ref="E76:I76"/>
    <mergeCell ref="J76:N76"/>
    <mergeCell ref="B74:B75"/>
    <mergeCell ref="C74:D75"/>
    <mergeCell ref="E74:I74"/>
    <mergeCell ref="J74:N74"/>
    <mergeCell ref="E75:I75"/>
    <mergeCell ref="J75:N75"/>
    <mergeCell ref="C81:D81"/>
    <mergeCell ref="E81:I81"/>
    <mergeCell ref="J81:N81"/>
    <mergeCell ref="C82:D82"/>
    <mergeCell ref="E82:I82"/>
    <mergeCell ref="J82:N82"/>
    <mergeCell ref="C80:D80"/>
    <mergeCell ref="E80:I80"/>
    <mergeCell ref="J80:N80"/>
    <mergeCell ref="C85:D85"/>
    <mergeCell ref="E85:I85"/>
    <mergeCell ref="J85:N85"/>
    <mergeCell ref="C86:D86"/>
    <mergeCell ref="E86:I86"/>
    <mergeCell ref="J86:N86"/>
    <mergeCell ref="C83:D83"/>
    <mergeCell ref="E83:I83"/>
    <mergeCell ref="J83:N83"/>
    <mergeCell ref="C84:D84"/>
    <mergeCell ref="E84:I84"/>
    <mergeCell ref="J84:N84"/>
    <mergeCell ref="C89:D89"/>
    <mergeCell ref="E89:I89"/>
    <mergeCell ref="J89:N89"/>
    <mergeCell ref="C90:D90"/>
    <mergeCell ref="E90:I90"/>
    <mergeCell ref="J90:N90"/>
    <mergeCell ref="C87:D87"/>
    <mergeCell ref="E87:I87"/>
    <mergeCell ref="J87:N87"/>
    <mergeCell ref="C88:D88"/>
    <mergeCell ref="E88:I88"/>
    <mergeCell ref="J88:N88"/>
    <mergeCell ref="C93:D93"/>
    <mergeCell ref="E93:I93"/>
    <mergeCell ref="J93:N93"/>
    <mergeCell ref="C94:D94"/>
    <mergeCell ref="E94:I94"/>
    <mergeCell ref="J94:N94"/>
    <mergeCell ref="C91:D91"/>
    <mergeCell ref="E91:I91"/>
    <mergeCell ref="J91:N91"/>
    <mergeCell ref="C92:D92"/>
    <mergeCell ref="E92:I92"/>
    <mergeCell ref="J92:N92"/>
    <mergeCell ref="B97:B98"/>
    <mergeCell ref="C97:D98"/>
    <mergeCell ref="E97:I97"/>
    <mergeCell ref="J97:N97"/>
    <mergeCell ref="E98:I98"/>
    <mergeCell ref="J98:N98"/>
    <mergeCell ref="C95:D95"/>
    <mergeCell ref="E95:I95"/>
    <mergeCell ref="J95:N95"/>
    <mergeCell ref="C96:D96"/>
    <mergeCell ref="E96:I96"/>
    <mergeCell ref="J96:N96"/>
    <mergeCell ref="C101:D101"/>
    <mergeCell ref="E101:I101"/>
    <mergeCell ref="J101:N101"/>
    <mergeCell ref="C102:D102"/>
    <mergeCell ref="E102:I102"/>
    <mergeCell ref="J102:N102"/>
    <mergeCell ref="B99:B100"/>
    <mergeCell ref="C99:D100"/>
    <mergeCell ref="E99:I99"/>
    <mergeCell ref="J99:N99"/>
    <mergeCell ref="E100:I100"/>
    <mergeCell ref="J100:N100"/>
    <mergeCell ref="C107:D107"/>
    <mergeCell ref="E107:I107"/>
    <mergeCell ref="J107:N107"/>
    <mergeCell ref="C108:D108"/>
    <mergeCell ref="E108:I108"/>
    <mergeCell ref="J108:N108"/>
    <mergeCell ref="C103:D103"/>
    <mergeCell ref="E103:I103"/>
    <mergeCell ref="J103:N103"/>
    <mergeCell ref="C111:D111"/>
    <mergeCell ref="E111:I111"/>
    <mergeCell ref="J111:N111"/>
    <mergeCell ref="C112:D112"/>
    <mergeCell ref="E112:I112"/>
    <mergeCell ref="J112:N112"/>
    <mergeCell ref="C109:D109"/>
    <mergeCell ref="E109:I109"/>
    <mergeCell ref="J109:N109"/>
    <mergeCell ref="C110:D110"/>
    <mergeCell ref="E110:I110"/>
    <mergeCell ref="J110:N110"/>
    <mergeCell ref="C115:D115"/>
    <mergeCell ref="E115:I115"/>
    <mergeCell ref="J115:N115"/>
    <mergeCell ref="C116:D116"/>
    <mergeCell ref="E116:I116"/>
    <mergeCell ref="J116:N116"/>
    <mergeCell ref="C113:D113"/>
    <mergeCell ref="E113:I113"/>
    <mergeCell ref="J113:N113"/>
    <mergeCell ref="C114:D114"/>
    <mergeCell ref="E114:I114"/>
    <mergeCell ref="J114:N114"/>
    <mergeCell ref="C119:D119"/>
    <mergeCell ref="E119:I119"/>
    <mergeCell ref="J119:N119"/>
    <mergeCell ref="C120:D120"/>
    <mergeCell ref="E120:I120"/>
    <mergeCell ref="J120:N120"/>
    <mergeCell ref="C117:D117"/>
    <mergeCell ref="E117:I117"/>
    <mergeCell ref="J117:N117"/>
    <mergeCell ref="C118:D118"/>
    <mergeCell ref="E118:I118"/>
    <mergeCell ref="J118:N118"/>
    <mergeCell ref="C127:D127"/>
    <mergeCell ref="E127:I127"/>
    <mergeCell ref="J127:N127"/>
    <mergeCell ref="C128:D128"/>
    <mergeCell ref="E128:I128"/>
    <mergeCell ref="J128:N128"/>
    <mergeCell ref="C124:D124"/>
    <mergeCell ref="E124:I124"/>
    <mergeCell ref="J124:N124"/>
    <mergeCell ref="E125:I125"/>
    <mergeCell ref="J125:N125"/>
    <mergeCell ref="C126:D126"/>
    <mergeCell ref="E126:I126"/>
    <mergeCell ref="J126:N126"/>
    <mergeCell ref="C131:D131"/>
    <mergeCell ref="E131:I131"/>
    <mergeCell ref="J131:N131"/>
    <mergeCell ref="C132:D132"/>
    <mergeCell ref="E132:I132"/>
    <mergeCell ref="J132:N132"/>
    <mergeCell ref="C129:D129"/>
    <mergeCell ref="E129:I129"/>
    <mergeCell ref="J129:N129"/>
    <mergeCell ref="C130:D130"/>
    <mergeCell ref="E130:I130"/>
    <mergeCell ref="J130:N130"/>
    <mergeCell ref="C133:D133"/>
    <mergeCell ref="E133:I133"/>
    <mergeCell ref="J133:N133"/>
    <mergeCell ref="B134:B135"/>
    <mergeCell ref="C134:D135"/>
    <mergeCell ref="E134:I134"/>
    <mergeCell ref="J134:N134"/>
    <mergeCell ref="E135:I135"/>
    <mergeCell ref="J135:N135"/>
    <mergeCell ref="B138:B139"/>
    <mergeCell ref="C138:D139"/>
    <mergeCell ref="E138:I138"/>
    <mergeCell ref="J138:N138"/>
    <mergeCell ref="E139:I139"/>
    <mergeCell ref="J139:N139"/>
    <mergeCell ref="B136:B137"/>
    <mergeCell ref="C136:D137"/>
    <mergeCell ref="E136:I136"/>
    <mergeCell ref="J136:N136"/>
    <mergeCell ref="E137:I137"/>
    <mergeCell ref="J137:N137"/>
    <mergeCell ref="C140:D140"/>
    <mergeCell ref="E140:I140"/>
    <mergeCell ref="J140:N140"/>
    <mergeCell ref="B141:B142"/>
    <mergeCell ref="C141:D142"/>
    <mergeCell ref="E141:I141"/>
    <mergeCell ref="J141:N141"/>
    <mergeCell ref="E142:I142"/>
    <mergeCell ref="J142:N142"/>
    <mergeCell ref="C145:D145"/>
    <mergeCell ref="E145:I145"/>
    <mergeCell ref="J145:N145"/>
    <mergeCell ref="C146:D146"/>
    <mergeCell ref="E146:I146"/>
    <mergeCell ref="J146:N146"/>
    <mergeCell ref="C143:D143"/>
    <mergeCell ref="E143:I143"/>
    <mergeCell ref="J143:N143"/>
    <mergeCell ref="C144:D144"/>
    <mergeCell ref="E144:I144"/>
    <mergeCell ref="J144:N144"/>
    <mergeCell ref="C149:D149"/>
    <mergeCell ref="E149:I149"/>
    <mergeCell ref="J149:N149"/>
    <mergeCell ref="C150:D150"/>
    <mergeCell ref="E150:I150"/>
    <mergeCell ref="J150:N150"/>
    <mergeCell ref="C147:D147"/>
    <mergeCell ref="E147:I147"/>
    <mergeCell ref="J147:N147"/>
    <mergeCell ref="C148:D148"/>
    <mergeCell ref="E148:I148"/>
    <mergeCell ref="J148:N148"/>
    <mergeCell ref="B155:B157"/>
    <mergeCell ref="C155:D157"/>
    <mergeCell ref="E155:I155"/>
    <mergeCell ref="J155:N155"/>
    <mergeCell ref="E156:I157"/>
    <mergeCell ref="J156:N156"/>
    <mergeCell ref="J157:N157"/>
    <mergeCell ref="C151:D151"/>
    <mergeCell ref="E151:I151"/>
    <mergeCell ref="J151:N151"/>
    <mergeCell ref="B152:B154"/>
    <mergeCell ref="C152:D154"/>
    <mergeCell ref="E152:I152"/>
    <mergeCell ref="J152:N152"/>
    <mergeCell ref="E153:I154"/>
    <mergeCell ref="J153:N153"/>
    <mergeCell ref="J154:N154"/>
    <mergeCell ref="C158:D158"/>
    <mergeCell ref="E158:I158"/>
    <mergeCell ref="J158:N158"/>
    <mergeCell ref="B159:B161"/>
    <mergeCell ref="C159:D161"/>
    <mergeCell ref="E159:I159"/>
    <mergeCell ref="J159:N159"/>
    <mergeCell ref="E160:I161"/>
    <mergeCell ref="J160:N160"/>
    <mergeCell ref="J161:N161"/>
    <mergeCell ref="C164:D164"/>
    <mergeCell ref="E164:I164"/>
    <mergeCell ref="J164:N164"/>
    <mergeCell ref="C165:D165"/>
    <mergeCell ref="E165:I165"/>
    <mergeCell ref="J165:N165"/>
    <mergeCell ref="C162:D162"/>
    <mergeCell ref="E162:I162"/>
    <mergeCell ref="J162:N162"/>
    <mergeCell ref="C163:D163"/>
    <mergeCell ref="E163:I163"/>
    <mergeCell ref="J163:N163"/>
    <mergeCell ref="B169:B170"/>
    <mergeCell ref="C169:D170"/>
    <mergeCell ref="E169:I169"/>
    <mergeCell ref="J169:N169"/>
    <mergeCell ref="E170:I170"/>
    <mergeCell ref="J170:N170"/>
    <mergeCell ref="B166:B168"/>
    <mergeCell ref="C166:D168"/>
    <mergeCell ref="E166:I166"/>
    <mergeCell ref="J166:N166"/>
    <mergeCell ref="E167:I168"/>
    <mergeCell ref="J167:N167"/>
    <mergeCell ref="J168:N168"/>
    <mergeCell ref="C173:D173"/>
    <mergeCell ref="E173:I173"/>
    <mergeCell ref="J173:N173"/>
    <mergeCell ref="C174:D174"/>
    <mergeCell ref="E174:I174"/>
    <mergeCell ref="J174:N174"/>
    <mergeCell ref="B171:B172"/>
    <mergeCell ref="C171:D172"/>
    <mergeCell ref="E171:I171"/>
    <mergeCell ref="J171:N171"/>
    <mergeCell ref="E172:I172"/>
    <mergeCell ref="J172:N172"/>
    <mergeCell ref="B180:N180"/>
    <mergeCell ref="C184:D184"/>
    <mergeCell ref="E184:I184"/>
    <mergeCell ref="J184:N184"/>
    <mergeCell ref="B185:N185"/>
    <mergeCell ref="C175:D175"/>
    <mergeCell ref="E175:I175"/>
    <mergeCell ref="J175:N175"/>
    <mergeCell ref="C179:D179"/>
    <mergeCell ref="E179:I179"/>
    <mergeCell ref="J179:N179"/>
    <mergeCell ref="C31:D31"/>
    <mergeCell ref="E31:I31"/>
    <mergeCell ref="J31:N31"/>
    <mergeCell ref="C42:D42"/>
    <mergeCell ref="E42:I42"/>
    <mergeCell ref="J42:N42"/>
    <mergeCell ref="E38:I38"/>
    <mergeCell ref="J38:N38"/>
    <mergeCell ref="C37:D37"/>
    <mergeCell ref="E37:I37"/>
    <mergeCell ref="J37:N37"/>
    <mergeCell ref="C33:D33"/>
    <mergeCell ref="E33:I33"/>
    <mergeCell ref="J33:N33"/>
    <mergeCell ref="C34:D34"/>
    <mergeCell ref="E34:I34"/>
    <mergeCell ref="J34:N34"/>
    <mergeCell ref="E39:I39"/>
    <mergeCell ref="J39:N39"/>
    <mergeCell ref="C38:D39"/>
    <mergeCell ref="C36:D36"/>
    <mergeCell ref="E36:I36"/>
    <mergeCell ref="J36:N36"/>
    <mergeCell ref="C35:D35"/>
    <mergeCell ref="E46:I46"/>
    <mergeCell ref="J46:N46"/>
    <mergeCell ref="C46:D46"/>
    <mergeCell ref="C47:D47"/>
    <mergeCell ref="E47:I47"/>
    <mergeCell ref="J47:N47"/>
    <mergeCell ref="C32:D32"/>
    <mergeCell ref="E32:I32"/>
    <mergeCell ref="J32:N32"/>
    <mergeCell ref="C43:D43"/>
    <mergeCell ref="E43:I43"/>
    <mergeCell ref="J43:N43"/>
    <mergeCell ref="E35:I35"/>
    <mergeCell ref="J35:N35"/>
    <mergeCell ref="C49:D49"/>
    <mergeCell ref="E49:I49"/>
    <mergeCell ref="J49:N49"/>
    <mergeCell ref="C48:D48"/>
    <mergeCell ref="E48:I48"/>
    <mergeCell ref="J48:N48"/>
    <mergeCell ref="C51:D51"/>
    <mergeCell ref="E51:I51"/>
    <mergeCell ref="J51:N51"/>
    <mergeCell ref="C50:D50"/>
    <mergeCell ref="E50:I50"/>
    <mergeCell ref="J50:N50"/>
    <mergeCell ref="B38:B39"/>
    <mergeCell ref="B40:B41"/>
    <mergeCell ref="C40:D41"/>
    <mergeCell ref="E40:I40"/>
    <mergeCell ref="J40:N40"/>
    <mergeCell ref="E41:I41"/>
    <mergeCell ref="J41:N41"/>
    <mergeCell ref="B44:B45"/>
    <mergeCell ref="C44:D45"/>
    <mergeCell ref="E44:I44"/>
    <mergeCell ref="J44:N44"/>
    <mergeCell ref="E45:I45"/>
    <mergeCell ref="J45:N45"/>
  </mergeCells>
  <pageMargins left="0.7" right="0.7" top="0.75" bottom="0.75" header="0.3" footer="0.3"/>
  <pageSetup scale="40" orientation="portrait" r:id="rId1"/>
  <headerFooter>
    <oddFooter>&amp;LUnrestricted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193"/>
  <sheetViews>
    <sheetView showGridLines="0" zoomScale="80" zoomScaleNormal="80" zoomScaleSheetLayoutView="50" workbookViewId="0">
      <selection activeCell="B14" sqref="B14:H14"/>
    </sheetView>
  </sheetViews>
  <sheetFormatPr baseColWidth="10" defaultColWidth="9.140625" defaultRowHeight="15" x14ac:dyDescent="0.25"/>
  <cols>
    <col min="2" max="2" width="10.85546875" customWidth="1"/>
    <col min="3" max="3" width="19.42578125" customWidth="1"/>
    <col min="4" max="4" width="26.140625" customWidth="1"/>
    <col min="5" max="5" width="30.7109375" customWidth="1"/>
    <col min="6" max="6" width="40.7109375" customWidth="1"/>
    <col min="7" max="7" width="48.7109375" style="100" customWidth="1"/>
    <col min="8" max="8" width="30.7109375" customWidth="1"/>
    <col min="9" max="9" width="40.7109375" customWidth="1"/>
    <col min="10" max="10" width="50.85546875" style="100" customWidth="1"/>
    <col min="11" max="11" width="9.140625" customWidth="1"/>
  </cols>
  <sheetData>
    <row r="1" spans="1:10" ht="15" customHeight="1" thickBot="1" x14ac:dyDescent="0.3"/>
    <row r="2" spans="1:10" ht="30" customHeight="1" thickBot="1" x14ac:dyDescent="0.3">
      <c r="B2" s="895" t="s">
        <v>1709</v>
      </c>
      <c r="C2" s="896"/>
    </row>
    <row r="3" spans="1:10" ht="15" customHeight="1" x14ac:dyDescent="0.25">
      <c r="A3">
        <v>1</v>
      </c>
      <c r="B3" s="897" t="s">
        <v>1710</v>
      </c>
      <c r="C3" s="897"/>
      <c r="D3" s="897"/>
      <c r="E3" s="897"/>
      <c r="F3" s="897"/>
    </row>
    <row r="4" spans="1:10" ht="15" customHeight="1" x14ac:dyDescent="0.25">
      <c r="A4">
        <v>2</v>
      </c>
      <c r="B4" s="897" t="s">
        <v>1711</v>
      </c>
      <c r="C4" s="897"/>
      <c r="D4" s="897"/>
      <c r="E4" s="897"/>
      <c r="F4" s="897"/>
    </row>
    <row r="5" spans="1:10" ht="15" customHeight="1" x14ac:dyDescent="0.25">
      <c r="B5" s="897"/>
      <c r="C5" s="897"/>
      <c r="D5" s="897"/>
      <c r="E5" s="897"/>
      <c r="F5" s="897"/>
    </row>
    <row r="6" spans="1:10" ht="15" customHeight="1" x14ac:dyDescent="0.25"/>
    <row r="7" spans="1:10" ht="15" customHeight="1" x14ac:dyDescent="0.25"/>
    <row r="8" spans="1:10" ht="15.75" thickBot="1" x14ac:dyDescent="0.3"/>
    <row r="9" spans="1:10" ht="30" customHeight="1" x14ac:dyDescent="0.25">
      <c r="B9" s="163" t="s">
        <v>120</v>
      </c>
      <c r="C9" s="26" t="s">
        <v>163</v>
      </c>
      <c r="D9" s="107" t="s">
        <v>164</v>
      </c>
      <c r="E9" s="27" t="s">
        <v>165</v>
      </c>
    </row>
    <row r="10" spans="1:10" ht="30" customHeight="1" x14ac:dyDescent="0.25">
      <c r="B10" s="164"/>
      <c r="C10" s="166"/>
      <c r="D10" s="165"/>
      <c r="E10" s="883" t="s">
        <v>1712</v>
      </c>
      <c r="F10" s="883"/>
      <c r="G10" s="883"/>
      <c r="H10" s="885" t="s">
        <v>1713</v>
      </c>
      <c r="I10" s="885"/>
      <c r="J10" s="885"/>
    </row>
    <row r="11" spans="1:10" ht="15" customHeight="1" x14ac:dyDescent="0.25">
      <c r="B11" s="173" t="s">
        <v>685</v>
      </c>
      <c r="C11" s="884" t="s">
        <v>1510</v>
      </c>
      <c r="D11" s="884"/>
      <c r="E11" s="152" t="s">
        <v>1714</v>
      </c>
      <c r="F11" s="152" t="s">
        <v>1715</v>
      </c>
      <c r="G11" s="152" t="s">
        <v>1716</v>
      </c>
      <c r="H11" s="152" t="s">
        <v>1714</v>
      </c>
      <c r="I11" s="152" t="s">
        <v>1715</v>
      </c>
      <c r="J11" s="152" t="s">
        <v>1716</v>
      </c>
    </row>
    <row r="12" spans="1:10" x14ac:dyDescent="0.25">
      <c r="B12" s="162"/>
      <c r="C12" s="805" t="s">
        <v>223</v>
      </c>
      <c r="D12" s="806"/>
      <c r="E12" s="177" t="s">
        <v>1717</v>
      </c>
      <c r="F12" s="177" t="s">
        <v>1718</v>
      </c>
      <c r="G12" s="177" t="s">
        <v>223</v>
      </c>
      <c r="H12" s="177" t="s">
        <v>1717</v>
      </c>
      <c r="I12" s="177" t="s">
        <v>1718</v>
      </c>
      <c r="J12" s="177" t="s">
        <v>223</v>
      </c>
    </row>
    <row r="13" spans="1:10" x14ac:dyDescent="0.25">
      <c r="B13" s="150"/>
      <c r="C13" s="823" t="s">
        <v>231</v>
      </c>
      <c r="D13" s="851"/>
      <c r="E13" s="155" t="s">
        <v>1717</v>
      </c>
      <c r="F13" s="155" t="s">
        <v>1718</v>
      </c>
      <c r="G13" s="155" t="s">
        <v>231</v>
      </c>
      <c r="H13" s="155" t="s">
        <v>1717</v>
      </c>
      <c r="I13" s="155" t="s">
        <v>1718</v>
      </c>
      <c r="J13" s="155" t="s">
        <v>231</v>
      </c>
    </row>
    <row r="14" spans="1:10" x14ac:dyDescent="0.25">
      <c r="B14" s="150"/>
      <c r="C14" s="823" t="s">
        <v>189</v>
      </c>
      <c r="D14" s="851"/>
      <c r="E14" s="155" t="s">
        <v>1717</v>
      </c>
      <c r="F14" s="155" t="s">
        <v>1718</v>
      </c>
      <c r="G14" s="155" t="s">
        <v>1719</v>
      </c>
      <c r="H14" s="155" t="s">
        <v>1717</v>
      </c>
      <c r="I14" s="155" t="s">
        <v>1718</v>
      </c>
      <c r="J14" s="155" t="s">
        <v>1719</v>
      </c>
    </row>
    <row r="15" spans="1:10" x14ac:dyDescent="0.25">
      <c r="B15" s="150"/>
      <c r="C15" s="823" t="s">
        <v>255</v>
      </c>
      <c r="D15" s="851"/>
      <c r="E15" s="155" t="s">
        <v>1717</v>
      </c>
      <c r="F15" s="155" t="s">
        <v>1720</v>
      </c>
      <c r="G15" s="155" t="s">
        <v>1721</v>
      </c>
      <c r="H15" s="155" t="s">
        <v>1717</v>
      </c>
      <c r="I15" s="155" t="s">
        <v>1720</v>
      </c>
      <c r="J15" s="155" t="s">
        <v>1721</v>
      </c>
    </row>
    <row r="16" spans="1:10" x14ac:dyDescent="0.25">
      <c r="B16" s="150"/>
      <c r="C16" s="823" t="s">
        <v>263</v>
      </c>
      <c r="D16" s="851"/>
      <c r="E16" s="155" t="s">
        <v>1717</v>
      </c>
      <c r="F16" s="155" t="s">
        <v>1720</v>
      </c>
      <c r="G16" s="100" t="s">
        <v>1722</v>
      </c>
      <c r="H16" s="155" t="s">
        <v>1717</v>
      </c>
      <c r="I16" s="155" t="s">
        <v>1720</v>
      </c>
      <c r="J16" s="155" t="s">
        <v>1723</v>
      </c>
    </row>
    <row r="17" spans="2:10" x14ac:dyDescent="0.25">
      <c r="B17" s="150"/>
      <c r="C17" s="823" t="s">
        <v>271</v>
      </c>
      <c r="D17" s="851"/>
      <c r="E17" s="155" t="s">
        <v>1717</v>
      </c>
      <c r="F17" s="155" t="s">
        <v>1720</v>
      </c>
      <c r="G17" s="155" t="s">
        <v>1724</v>
      </c>
      <c r="H17" s="155" t="s">
        <v>1717</v>
      </c>
      <c r="I17" s="155" t="s">
        <v>1720</v>
      </c>
      <c r="J17" s="155" t="s">
        <v>1724</v>
      </c>
    </row>
    <row r="18" spans="2:10" x14ac:dyDescent="0.25">
      <c r="B18" s="150"/>
      <c r="C18" s="823" t="s">
        <v>287</v>
      </c>
      <c r="D18" s="851"/>
      <c r="E18" s="155" t="s">
        <v>1717</v>
      </c>
      <c r="F18" s="155" t="s">
        <v>1718</v>
      </c>
      <c r="G18" s="155" t="s">
        <v>1725</v>
      </c>
      <c r="H18" s="155" t="s">
        <v>1717</v>
      </c>
      <c r="I18" s="155" t="s">
        <v>1718</v>
      </c>
      <c r="J18" s="155" t="s">
        <v>1725</v>
      </c>
    </row>
    <row r="19" spans="2:10" x14ac:dyDescent="0.25">
      <c r="B19" s="150"/>
      <c r="C19" s="823" t="s">
        <v>295</v>
      </c>
      <c r="D19" s="851"/>
      <c r="E19" s="155" t="s">
        <v>1717</v>
      </c>
      <c r="F19" s="155" t="s">
        <v>1718</v>
      </c>
      <c r="G19" s="155" t="s">
        <v>1726</v>
      </c>
      <c r="H19" s="155" t="s">
        <v>1717</v>
      </c>
      <c r="I19" s="155" t="s">
        <v>1718</v>
      </c>
      <c r="J19" s="155" t="s">
        <v>1726</v>
      </c>
    </row>
    <row r="20" spans="2:10" x14ac:dyDescent="0.25">
      <c r="B20" s="150"/>
      <c r="C20" s="158" t="s">
        <v>1727</v>
      </c>
      <c r="D20" s="159"/>
      <c r="E20" s="155" t="s">
        <v>1728</v>
      </c>
      <c r="F20" s="155" t="s">
        <v>1729</v>
      </c>
      <c r="G20" s="155" t="s">
        <v>303</v>
      </c>
      <c r="H20" s="155" t="s">
        <v>1728</v>
      </c>
      <c r="I20" s="155" t="s">
        <v>1729</v>
      </c>
      <c r="J20" s="155" t="s">
        <v>303</v>
      </c>
    </row>
    <row r="21" spans="2:10" x14ac:dyDescent="0.25">
      <c r="B21" s="150"/>
      <c r="C21" s="823" t="s">
        <v>1730</v>
      </c>
      <c r="D21" s="851"/>
      <c r="E21" s="155" t="s">
        <v>1717</v>
      </c>
      <c r="F21" s="155" t="s">
        <v>1720</v>
      </c>
      <c r="G21" s="155" t="s">
        <v>1731</v>
      </c>
      <c r="H21" s="155" t="s">
        <v>1717</v>
      </c>
      <c r="I21" s="155" t="s">
        <v>1729</v>
      </c>
      <c r="J21" s="155" t="s">
        <v>1732</v>
      </c>
    </row>
    <row r="22" spans="2:10" x14ac:dyDescent="0.25">
      <c r="B22" s="150"/>
      <c r="C22" s="823" t="s">
        <v>325</v>
      </c>
      <c r="D22" s="851"/>
      <c r="E22" s="155" t="s">
        <v>1717</v>
      </c>
      <c r="F22" s="155" t="s">
        <v>1729</v>
      </c>
      <c r="G22" s="155" t="s">
        <v>1732</v>
      </c>
      <c r="H22" s="155" t="s">
        <v>1717</v>
      </c>
      <c r="I22" s="155" t="s">
        <v>1733</v>
      </c>
      <c r="J22" s="155" t="s">
        <v>1734</v>
      </c>
    </row>
    <row r="23" spans="2:10" x14ac:dyDescent="0.25">
      <c r="B23" s="150"/>
      <c r="C23" s="158" t="s">
        <v>197</v>
      </c>
      <c r="D23" s="159"/>
      <c r="E23" s="155"/>
      <c r="F23" s="155"/>
      <c r="G23" s="155"/>
      <c r="H23" s="155" t="s">
        <v>1717</v>
      </c>
      <c r="I23" s="155" t="s">
        <v>1729</v>
      </c>
      <c r="J23" s="155" t="s">
        <v>1735</v>
      </c>
    </row>
    <row r="24" spans="2:10" x14ac:dyDescent="0.25">
      <c r="B24" s="150"/>
      <c r="C24" s="158" t="s">
        <v>205</v>
      </c>
      <c r="D24" s="159"/>
      <c r="E24" s="155"/>
      <c r="F24" s="155"/>
      <c r="G24" s="155"/>
      <c r="H24" s="155" t="s">
        <v>1717</v>
      </c>
      <c r="I24" s="155" t="s">
        <v>1729</v>
      </c>
      <c r="J24" s="155" t="s">
        <v>1736</v>
      </c>
    </row>
    <row r="25" spans="2:10" x14ac:dyDescent="0.25">
      <c r="B25" s="150"/>
      <c r="C25" s="158" t="s">
        <v>209</v>
      </c>
      <c r="D25" s="159"/>
      <c r="E25" s="155"/>
      <c r="F25" s="155"/>
      <c r="G25" s="155"/>
      <c r="H25" s="155" t="s">
        <v>1717</v>
      </c>
      <c r="I25" s="155" t="s">
        <v>1729</v>
      </c>
      <c r="J25" s="155" t="s">
        <v>1737</v>
      </c>
    </row>
    <row r="26" spans="2:10" x14ac:dyDescent="0.25">
      <c r="B26" s="150"/>
      <c r="C26" s="807" t="s">
        <v>1738</v>
      </c>
      <c r="D26" s="809"/>
      <c r="E26" s="155" t="s">
        <v>1717</v>
      </c>
      <c r="F26" s="155" t="s">
        <v>1718</v>
      </c>
      <c r="G26" s="155" t="s">
        <v>1739</v>
      </c>
      <c r="H26" s="155"/>
      <c r="I26" s="155"/>
      <c r="J26" s="155"/>
    </row>
    <row r="27" spans="2:10" x14ac:dyDescent="0.25">
      <c r="B27" s="161">
        <v>1</v>
      </c>
      <c r="C27" s="881" t="s">
        <v>1740</v>
      </c>
      <c r="D27" s="881"/>
      <c r="E27" s="155"/>
      <c r="F27" s="155"/>
      <c r="G27" s="155"/>
      <c r="H27" s="155"/>
      <c r="I27" s="155"/>
      <c r="J27" s="155"/>
    </row>
    <row r="28" spans="2:10" x14ac:dyDescent="0.25">
      <c r="B28" s="150">
        <v>2</v>
      </c>
      <c r="C28" s="814" t="s">
        <v>375</v>
      </c>
      <c r="D28" s="814"/>
      <c r="E28" s="155" t="s">
        <v>42</v>
      </c>
      <c r="F28" s="155" t="s">
        <v>774</v>
      </c>
      <c r="G28" s="155" t="s">
        <v>1590</v>
      </c>
      <c r="H28" s="155" t="s">
        <v>42</v>
      </c>
      <c r="I28" s="155" t="s">
        <v>774</v>
      </c>
      <c r="J28" s="155" t="s">
        <v>1590</v>
      </c>
    </row>
    <row r="29" spans="2:10" x14ac:dyDescent="0.25">
      <c r="B29" s="150">
        <v>3</v>
      </c>
      <c r="C29" s="823" t="s">
        <v>1741</v>
      </c>
      <c r="D29" s="851"/>
      <c r="E29" s="155" t="s">
        <v>42</v>
      </c>
      <c r="F29" s="155" t="s">
        <v>774</v>
      </c>
      <c r="G29" s="155" t="s">
        <v>368</v>
      </c>
      <c r="H29" s="155" t="s">
        <v>42</v>
      </c>
      <c r="I29" s="155" t="s">
        <v>774</v>
      </c>
      <c r="J29" s="155" t="s">
        <v>368</v>
      </c>
    </row>
    <row r="30" spans="2:10" x14ac:dyDescent="0.25">
      <c r="B30" s="150">
        <v>4</v>
      </c>
      <c r="C30" s="158" t="s">
        <v>382</v>
      </c>
      <c r="D30" s="159"/>
      <c r="E30" s="155" t="s">
        <v>42</v>
      </c>
      <c r="F30" s="155" t="s">
        <v>774</v>
      </c>
      <c r="G30" s="155" t="s">
        <v>1522</v>
      </c>
      <c r="H30" s="155" t="s">
        <v>42</v>
      </c>
      <c r="I30" s="155" t="s">
        <v>774</v>
      </c>
      <c r="J30" s="155" t="s">
        <v>1522</v>
      </c>
    </row>
    <row r="31" spans="2:10" x14ac:dyDescent="0.25">
      <c r="B31" s="150">
        <v>5</v>
      </c>
      <c r="C31" s="814" t="s">
        <v>774</v>
      </c>
      <c r="D31" s="814"/>
      <c r="E31" s="155"/>
      <c r="F31" s="155"/>
      <c r="G31" s="155"/>
      <c r="H31" s="155"/>
      <c r="I31" s="155"/>
      <c r="J31" s="155"/>
    </row>
    <row r="32" spans="2:10" x14ac:dyDescent="0.25">
      <c r="B32" s="150">
        <v>6</v>
      </c>
      <c r="C32" s="814" t="s">
        <v>408</v>
      </c>
      <c r="D32" s="814"/>
      <c r="E32" s="155"/>
      <c r="F32" s="155"/>
      <c r="G32" s="155"/>
      <c r="H32" s="155"/>
      <c r="I32" s="155"/>
      <c r="J32" s="155"/>
    </row>
    <row r="33" spans="2:10" x14ac:dyDescent="0.25">
      <c r="B33" s="150">
        <v>7</v>
      </c>
      <c r="C33" s="814" t="s">
        <v>1742</v>
      </c>
      <c r="D33" s="814"/>
      <c r="E33" s="155"/>
      <c r="F33" s="155"/>
      <c r="G33" s="155"/>
      <c r="H33" s="155"/>
      <c r="I33" s="155"/>
      <c r="J33" s="155"/>
    </row>
    <row r="34" spans="2:10" x14ac:dyDescent="0.25">
      <c r="B34" s="150">
        <v>8</v>
      </c>
      <c r="C34" s="814" t="s">
        <v>436</v>
      </c>
      <c r="D34" s="814"/>
      <c r="E34" s="155"/>
      <c r="F34" s="155"/>
      <c r="G34" s="155"/>
      <c r="H34" s="155"/>
      <c r="I34" s="155"/>
      <c r="J34" s="155"/>
    </row>
    <row r="35" spans="2:10" x14ac:dyDescent="0.25">
      <c r="B35" s="150">
        <v>9</v>
      </c>
      <c r="C35" s="823" t="s">
        <v>1743</v>
      </c>
      <c r="D35" s="851"/>
      <c r="E35" s="155"/>
      <c r="F35" s="155"/>
      <c r="G35" s="155"/>
      <c r="H35" s="155"/>
      <c r="I35" s="155"/>
      <c r="J35" s="155"/>
    </row>
    <row r="36" spans="2:10" x14ac:dyDescent="0.25">
      <c r="B36" s="150">
        <v>10</v>
      </c>
      <c r="C36" s="823" t="s">
        <v>457</v>
      </c>
      <c r="D36" s="851"/>
      <c r="E36" s="170" t="s">
        <v>132</v>
      </c>
      <c r="F36" s="155" t="s">
        <v>1744</v>
      </c>
      <c r="G36" s="155" t="s">
        <v>1543</v>
      </c>
      <c r="H36" s="170" t="s">
        <v>132</v>
      </c>
      <c r="I36" s="155" t="s">
        <v>1744</v>
      </c>
      <c r="J36" s="155" t="s">
        <v>1543</v>
      </c>
    </row>
    <row r="37" spans="2:10" x14ac:dyDescent="0.25">
      <c r="B37" s="150">
        <v>11</v>
      </c>
      <c r="C37" s="814" t="s">
        <v>558</v>
      </c>
      <c r="D37" s="814"/>
      <c r="E37" s="155"/>
      <c r="F37" s="155"/>
      <c r="G37" s="155"/>
      <c r="H37" s="155"/>
      <c r="I37" s="155"/>
      <c r="J37" s="155"/>
    </row>
    <row r="38" spans="2:10" x14ac:dyDescent="0.25">
      <c r="B38" s="150">
        <v>12</v>
      </c>
      <c r="C38" s="814" t="s">
        <v>565</v>
      </c>
      <c r="D38" s="814"/>
      <c r="E38" s="155"/>
      <c r="F38" s="155"/>
      <c r="G38" s="155"/>
      <c r="H38" s="155"/>
      <c r="I38" s="155"/>
      <c r="J38" s="155"/>
    </row>
    <row r="39" spans="2:10" x14ac:dyDescent="0.25">
      <c r="B39" s="150">
        <v>13</v>
      </c>
      <c r="C39" s="814" t="s">
        <v>485</v>
      </c>
      <c r="D39" s="814"/>
      <c r="E39" s="155" t="s">
        <v>1745</v>
      </c>
      <c r="F39" s="155" t="s">
        <v>1746</v>
      </c>
      <c r="G39" s="155" t="s">
        <v>485</v>
      </c>
      <c r="H39" s="155" t="s">
        <v>1745</v>
      </c>
      <c r="I39" s="155" t="s">
        <v>1746</v>
      </c>
      <c r="J39" s="155" t="s">
        <v>485</v>
      </c>
    </row>
    <row r="40" spans="2:10" x14ac:dyDescent="0.25">
      <c r="B40" s="150">
        <v>14</v>
      </c>
      <c r="C40" s="814" t="s">
        <v>492</v>
      </c>
      <c r="D40" s="814"/>
      <c r="E40" s="155" t="s">
        <v>1745</v>
      </c>
      <c r="F40" s="155" t="s">
        <v>1746</v>
      </c>
      <c r="G40" s="155" t="s">
        <v>492</v>
      </c>
      <c r="H40" s="155" t="s">
        <v>1745</v>
      </c>
      <c r="I40" s="155" t="s">
        <v>1746</v>
      </c>
      <c r="J40" s="155" t="s">
        <v>492</v>
      </c>
    </row>
    <row r="41" spans="2:10" ht="120" x14ac:dyDescent="0.25">
      <c r="B41" s="150">
        <v>15</v>
      </c>
      <c r="C41" s="814" t="s">
        <v>1747</v>
      </c>
      <c r="D41" s="814"/>
      <c r="E41" s="155" t="s">
        <v>1745</v>
      </c>
      <c r="F41" s="155" t="s">
        <v>1746</v>
      </c>
      <c r="G41" s="155" t="s">
        <v>1748</v>
      </c>
      <c r="H41" s="155" t="s">
        <v>1745</v>
      </c>
      <c r="I41" s="155" t="s">
        <v>1749</v>
      </c>
      <c r="J41" s="155" t="s">
        <v>1750</v>
      </c>
    </row>
    <row r="42" spans="2:10" x14ac:dyDescent="0.25">
      <c r="B42" s="150">
        <v>16</v>
      </c>
      <c r="C42" s="814" t="s">
        <v>1751</v>
      </c>
      <c r="D42" s="814"/>
      <c r="E42" s="155"/>
      <c r="F42" s="155"/>
      <c r="G42" s="155"/>
      <c r="H42" s="155"/>
      <c r="I42" s="155"/>
      <c r="J42" s="155"/>
    </row>
    <row r="43" spans="2:10" x14ac:dyDescent="0.25">
      <c r="B43" s="150">
        <v>17</v>
      </c>
      <c r="C43" s="814" t="s">
        <v>612</v>
      </c>
      <c r="D43" s="814"/>
      <c r="E43" s="155"/>
      <c r="F43" s="155"/>
      <c r="G43" s="155"/>
      <c r="H43" s="155"/>
      <c r="I43" s="155"/>
      <c r="J43" s="155"/>
    </row>
    <row r="44" spans="2:10" x14ac:dyDescent="0.25">
      <c r="B44" s="150">
        <v>18</v>
      </c>
      <c r="C44" s="803" t="s">
        <v>513</v>
      </c>
      <c r="D44" s="804"/>
      <c r="E44" s="155" t="s">
        <v>1745</v>
      </c>
      <c r="F44" s="155" t="s">
        <v>513</v>
      </c>
      <c r="G44" s="155" t="s">
        <v>513</v>
      </c>
      <c r="H44" s="155" t="s">
        <v>1745</v>
      </c>
      <c r="I44" s="155" t="s">
        <v>513</v>
      </c>
      <c r="J44" s="155" t="s">
        <v>513</v>
      </c>
    </row>
    <row r="45" spans="2:10" x14ac:dyDescent="0.25">
      <c r="B45" s="150">
        <v>19</v>
      </c>
      <c r="C45" s="814" t="s">
        <v>520</v>
      </c>
      <c r="D45" s="814"/>
      <c r="E45" s="155" t="s">
        <v>1745</v>
      </c>
      <c r="F45" s="155" t="s">
        <v>520</v>
      </c>
      <c r="G45" s="155" t="s">
        <v>1752</v>
      </c>
      <c r="H45" s="155" t="s">
        <v>1745</v>
      </c>
      <c r="I45" s="155" t="s">
        <v>520</v>
      </c>
      <c r="J45" s="155" t="s">
        <v>1753</v>
      </c>
    </row>
    <row r="46" spans="2:10" x14ac:dyDescent="0.25">
      <c r="B46" s="150">
        <v>20</v>
      </c>
      <c r="C46" s="814" t="s">
        <v>527</v>
      </c>
      <c r="D46" s="814"/>
      <c r="E46" s="155" t="s">
        <v>1745</v>
      </c>
      <c r="F46" s="155" t="s">
        <v>1754</v>
      </c>
      <c r="G46" s="155" t="s">
        <v>1755</v>
      </c>
      <c r="H46" s="155" t="s">
        <v>1745</v>
      </c>
      <c r="I46" s="155" t="s">
        <v>1754</v>
      </c>
      <c r="J46" s="155" t="s">
        <v>1756</v>
      </c>
    </row>
    <row r="47" spans="2:10" x14ac:dyDescent="0.25">
      <c r="B47" s="150">
        <v>21</v>
      </c>
      <c r="C47" s="814" t="s">
        <v>627</v>
      </c>
      <c r="D47" s="814"/>
      <c r="E47" s="155"/>
      <c r="F47" s="155"/>
      <c r="G47" s="155"/>
      <c r="H47" s="155"/>
      <c r="I47" s="155"/>
      <c r="J47" s="155"/>
    </row>
    <row r="48" spans="2:10" x14ac:dyDescent="0.25">
      <c r="B48" s="150">
        <v>22</v>
      </c>
      <c r="C48" s="814" t="s">
        <v>478</v>
      </c>
      <c r="D48" s="814"/>
      <c r="E48" s="155" t="s">
        <v>1745</v>
      </c>
      <c r="F48" s="155" t="s">
        <v>1757</v>
      </c>
      <c r="G48" s="155" t="s">
        <v>1758</v>
      </c>
      <c r="H48" s="155" t="s">
        <v>1745</v>
      </c>
      <c r="I48" s="155" t="s">
        <v>1757</v>
      </c>
      <c r="J48" s="155" t="s">
        <v>1758</v>
      </c>
    </row>
    <row r="49" spans="2:10" x14ac:dyDescent="0.25">
      <c r="B49" s="150">
        <v>24</v>
      </c>
      <c r="C49" s="814" t="s">
        <v>552</v>
      </c>
      <c r="D49" s="814"/>
      <c r="E49" s="155" t="s">
        <v>1745</v>
      </c>
      <c r="F49" s="155" t="s">
        <v>1746</v>
      </c>
      <c r="G49" s="155" t="s">
        <v>1759</v>
      </c>
      <c r="H49" s="155"/>
      <c r="I49" s="155"/>
      <c r="J49" s="155"/>
    </row>
    <row r="50" spans="2:10" x14ac:dyDescent="0.25">
      <c r="B50" s="150">
        <v>23</v>
      </c>
      <c r="C50" s="814" t="s">
        <v>1760</v>
      </c>
      <c r="D50" s="814"/>
      <c r="E50" s="155"/>
      <c r="F50" s="155"/>
      <c r="G50" s="155" t="s">
        <v>1761</v>
      </c>
      <c r="H50" s="155"/>
      <c r="I50" s="155"/>
      <c r="J50" s="155"/>
    </row>
    <row r="51" spans="2:10" x14ac:dyDescent="0.25">
      <c r="B51" s="150">
        <v>24</v>
      </c>
      <c r="C51" s="814" t="s">
        <v>547</v>
      </c>
      <c r="D51" s="814"/>
      <c r="E51" s="155"/>
      <c r="F51" s="155"/>
      <c r="G51" s="155"/>
      <c r="H51" s="155"/>
      <c r="I51" s="155"/>
      <c r="J51" s="155"/>
    </row>
    <row r="52" spans="2:10" x14ac:dyDescent="0.25">
      <c r="B52" s="74">
        <v>25</v>
      </c>
      <c r="C52" s="814" t="s">
        <v>552</v>
      </c>
      <c r="D52" s="814"/>
      <c r="E52" s="155" t="s">
        <v>1745</v>
      </c>
      <c r="F52" s="155" t="s">
        <v>1757</v>
      </c>
      <c r="G52" s="155" t="s">
        <v>1758</v>
      </c>
      <c r="H52" s="155" t="s">
        <v>1745</v>
      </c>
      <c r="I52" s="155" t="s">
        <v>1757</v>
      </c>
      <c r="J52" s="155" t="s">
        <v>1758</v>
      </c>
    </row>
    <row r="53" spans="2:10" ht="15" customHeight="1" x14ac:dyDescent="0.25"/>
    <row r="56" spans="2:10" ht="15.75" thickBot="1" x14ac:dyDescent="0.3"/>
    <row r="57" spans="2:10" ht="30" customHeight="1" x14ac:dyDescent="0.25">
      <c r="B57" s="107" t="s">
        <v>120</v>
      </c>
      <c r="C57" s="163" t="s">
        <v>163</v>
      </c>
      <c r="D57" s="107" t="s">
        <v>164</v>
      </c>
      <c r="E57" s="27" t="s">
        <v>165</v>
      </c>
    </row>
    <row r="58" spans="2:10" ht="30" customHeight="1" x14ac:dyDescent="0.25">
      <c r="B58" s="167"/>
      <c r="C58" s="168"/>
      <c r="D58" s="165"/>
      <c r="E58" s="883" t="s">
        <v>1712</v>
      </c>
      <c r="F58" s="883"/>
      <c r="G58" s="883"/>
      <c r="H58" s="885" t="s">
        <v>1713</v>
      </c>
      <c r="I58" s="885"/>
      <c r="J58" s="885"/>
    </row>
    <row r="59" spans="2:10" ht="15" customHeight="1" x14ac:dyDescent="0.25">
      <c r="B59" s="173" t="s">
        <v>685</v>
      </c>
      <c r="C59" s="886" t="s">
        <v>1510</v>
      </c>
      <c r="D59" s="886"/>
      <c r="E59" s="152" t="s">
        <v>1714</v>
      </c>
      <c r="F59" s="152" t="s">
        <v>1715</v>
      </c>
      <c r="G59" s="152" t="s">
        <v>1716</v>
      </c>
      <c r="H59" s="152" t="s">
        <v>1714</v>
      </c>
      <c r="I59" s="152" t="s">
        <v>1715</v>
      </c>
      <c r="J59" s="152" t="s">
        <v>1716</v>
      </c>
    </row>
    <row r="60" spans="2:10" ht="15" customHeight="1" x14ac:dyDescent="0.25">
      <c r="B60" s="161"/>
      <c r="C60" s="869" t="s">
        <v>1762</v>
      </c>
      <c r="D60" s="887"/>
      <c r="E60" s="154" t="s">
        <v>42</v>
      </c>
      <c r="F60" s="155" t="s">
        <v>774</v>
      </c>
      <c r="G60" s="153" t="s">
        <v>1763</v>
      </c>
      <c r="H60" s="154" t="s">
        <v>42</v>
      </c>
      <c r="I60" s="155" t="s">
        <v>774</v>
      </c>
      <c r="J60" s="153" t="s">
        <v>1763</v>
      </c>
    </row>
    <row r="61" spans="2:10" x14ac:dyDescent="0.25">
      <c r="B61" s="150" t="s">
        <v>10</v>
      </c>
      <c r="C61" s="823" t="s">
        <v>685</v>
      </c>
      <c r="D61" s="723"/>
      <c r="E61" s="153"/>
      <c r="F61" s="153"/>
      <c r="G61" s="153"/>
      <c r="H61" s="153"/>
      <c r="I61" s="153"/>
      <c r="J61" s="153"/>
    </row>
    <row r="62" spans="2:10" x14ac:dyDescent="0.25">
      <c r="B62" s="150" t="s">
        <v>11</v>
      </c>
      <c r="C62" s="158" t="s">
        <v>698</v>
      </c>
      <c r="D62" s="181"/>
      <c r="E62" s="153" t="s">
        <v>1764</v>
      </c>
      <c r="F62" s="153" t="s">
        <v>1718</v>
      </c>
      <c r="G62" s="153" t="s">
        <v>1572</v>
      </c>
      <c r="H62" s="153" t="s">
        <v>1764</v>
      </c>
      <c r="I62" s="153" t="s">
        <v>1718</v>
      </c>
      <c r="J62" s="153" t="s">
        <v>1572</v>
      </c>
    </row>
    <row r="63" spans="2:10" x14ac:dyDescent="0.25">
      <c r="B63" s="150" t="s">
        <v>1765</v>
      </c>
      <c r="C63" s="823" t="s">
        <v>701</v>
      </c>
      <c r="D63" s="851"/>
      <c r="E63" s="153" t="s">
        <v>1764</v>
      </c>
      <c r="F63" s="153" t="s">
        <v>1718</v>
      </c>
      <c r="G63" s="153" t="s">
        <v>1766</v>
      </c>
      <c r="H63" s="153" t="s">
        <v>1764</v>
      </c>
      <c r="I63" s="153" t="s">
        <v>1718</v>
      </c>
      <c r="J63" s="153" t="s">
        <v>1767</v>
      </c>
    </row>
    <row r="64" spans="2:10" x14ac:dyDescent="0.25">
      <c r="B64" s="150" t="s">
        <v>1768</v>
      </c>
      <c r="C64" s="823" t="s">
        <v>708</v>
      </c>
      <c r="D64" s="851"/>
      <c r="E64" s="153" t="s">
        <v>1764</v>
      </c>
      <c r="F64" s="153" t="s">
        <v>1718</v>
      </c>
      <c r="G64" s="153" t="s">
        <v>1769</v>
      </c>
      <c r="H64" s="153" t="s">
        <v>1764</v>
      </c>
      <c r="I64" s="153" t="s">
        <v>1718</v>
      </c>
      <c r="J64" s="153" t="s">
        <v>708</v>
      </c>
    </row>
    <row r="65" spans="2:10" x14ac:dyDescent="0.25">
      <c r="B65" s="150" t="s">
        <v>13</v>
      </c>
      <c r="C65" s="823" t="s">
        <v>715</v>
      </c>
      <c r="D65" s="723"/>
      <c r="E65" s="153" t="s">
        <v>1764</v>
      </c>
      <c r="F65" s="169" t="s">
        <v>1770</v>
      </c>
      <c r="G65" s="153" t="s">
        <v>1771</v>
      </c>
      <c r="H65" s="153" t="s">
        <v>1764</v>
      </c>
      <c r="I65" s="153" t="s">
        <v>1770</v>
      </c>
      <c r="J65" s="153" t="s">
        <v>1771</v>
      </c>
    </row>
    <row r="66" spans="2:10" x14ac:dyDescent="0.25">
      <c r="B66" s="150" t="s">
        <v>14</v>
      </c>
      <c r="C66" s="823" t="s">
        <v>189</v>
      </c>
      <c r="D66" s="723"/>
      <c r="E66" s="171" t="s">
        <v>1728</v>
      </c>
      <c r="F66" t="s">
        <v>1729</v>
      </c>
      <c r="G66" s="171" t="s">
        <v>1719</v>
      </c>
      <c r="H66" s="171" t="s">
        <v>1728</v>
      </c>
      <c r="I66" t="s">
        <v>1729</v>
      </c>
      <c r="J66" s="171" t="s">
        <v>1719</v>
      </c>
    </row>
    <row r="67" spans="2:10" x14ac:dyDescent="0.25">
      <c r="B67" s="150" t="s">
        <v>15</v>
      </c>
      <c r="C67" s="823" t="s">
        <v>723</v>
      </c>
      <c r="D67" s="723"/>
      <c r="E67" s="153" t="s">
        <v>42</v>
      </c>
      <c r="F67" s="153" t="s">
        <v>1772</v>
      </c>
      <c r="G67" s="153" t="s">
        <v>723</v>
      </c>
      <c r="H67" s="153" t="s">
        <v>42</v>
      </c>
      <c r="I67" s="153" t="s">
        <v>1772</v>
      </c>
      <c r="J67" s="153" t="s">
        <v>723</v>
      </c>
    </row>
    <row r="68" spans="2:10" x14ac:dyDescent="0.25">
      <c r="B68" s="150" t="s">
        <v>16</v>
      </c>
      <c r="C68" s="823" t="s">
        <v>748</v>
      </c>
      <c r="D68" s="723"/>
      <c r="E68" s="153" t="s">
        <v>42</v>
      </c>
      <c r="F68" s="153" t="s">
        <v>1772</v>
      </c>
      <c r="G68" s="153" t="s">
        <v>1773</v>
      </c>
      <c r="H68" s="153" t="s">
        <v>42</v>
      </c>
      <c r="I68" s="153" t="s">
        <v>1772</v>
      </c>
      <c r="J68" s="153" t="s">
        <v>1773</v>
      </c>
    </row>
    <row r="69" spans="2:10" x14ac:dyDescent="0.25">
      <c r="B69" s="150" t="s">
        <v>17</v>
      </c>
      <c r="C69" s="823" t="s">
        <v>754</v>
      </c>
      <c r="D69" s="723"/>
      <c r="E69" s="153" t="s">
        <v>42</v>
      </c>
      <c r="F69" s="153" t="s">
        <v>1772</v>
      </c>
      <c r="G69" s="153" t="s">
        <v>1774</v>
      </c>
      <c r="H69" s="153" t="s">
        <v>42</v>
      </c>
      <c r="I69" s="153" t="s">
        <v>1772</v>
      </c>
      <c r="J69" s="153" t="s">
        <v>1774</v>
      </c>
    </row>
    <row r="70" spans="2:10" x14ac:dyDescent="0.25">
      <c r="B70" s="150" t="s">
        <v>18</v>
      </c>
      <c r="C70" s="823" t="s">
        <v>761</v>
      </c>
      <c r="D70" s="723"/>
      <c r="E70" s="153" t="s">
        <v>42</v>
      </c>
      <c r="F70" s="153" t="s">
        <v>1772</v>
      </c>
      <c r="G70" s="153" t="s">
        <v>1775</v>
      </c>
      <c r="H70" s="153" t="s">
        <v>42</v>
      </c>
      <c r="I70" s="153" t="s">
        <v>1772</v>
      </c>
      <c r="J70" s="153" t="s">
        <v>1775</v>
      </c>
    </row>
    <row r="71" spans="2:10" x14ac:dyDescent="0.25">
      <c r="B71" s="150" t="s">
        <v>19</v>
      </c>
      <c r="C71" s="823" t="s">
        <v>768</v>
      </c>
      <c r="D71" s="723"/>
      <c r="E71" s="153"/>
      <c r="F71" s="153"/>
      <c r="G71" s="153"/>
      <c r="H71" s="153"/>
      <c r="I71" s="153"/>
      <c r="J71" s="153"/>
    </row>
    <row r="72" spans="2:10" x14ac:dyDescent="0.25">
      <c r="B72" s="150" t="s">
        <v>20</v>
      </c>
      <c r="C72" s="823" t="s">
        <v>1776</v>
      </c>
      <c r="D72" s="851"/>
      <c r="E72" s="153" t="s">
        <v>42</v>
      </c>
      <c r="F72" s="153" t="s">
        <v>1772</v>
      </c>
      <c r="G72" s="153" t="s">
        <v>1720</v>
      </c>
      <c r="H72" s="153" t="s">
        <v>42</v>
      </c>
      <c r="I72" s="153" t="s">
        <v>1772</v>
      </c>
      <c r="J72" s="153" t="s">
        <v>1720</v>
      </c>
    </row>
    <row r="73" spans="2:10" x14ac:dyDescent="0.25">
      <c r="B73" s="150" t="s">
        <v>21</v>
      </c>
      <c r="C73" s="823" t="s">
        <v>1777</v>
      </c>
      <c r="D73" s="851"/>
      <c r="E73" s="153"/>
      <c r="F73" s="153"/>
      <c r="G73" s="153"/>
      <c r="H73" s="153" t="s">
        <v>42</v>
      </c>
      <c r="I73" s="153" t="s">
        <v>1772</v>
      </c>
      <c r="J73" s="153" t="s">
        <v>1778</v>
      </c>
    </row>
    <row r="74" spans="2:10" x14ac:dyDescent="0.25">
      <c r="B74" s="150" t="s">
        <v>22</v>
      </c>
      <c r="C74" s="823" t="s">
        <v>774</v>
      </c>
      <c r="D74" s="723"/>
      <c r="E74" s="153"/>
      <c r="F74" s="153"/>
      <c r="G74" s="153"/>
      <c r="H74" s="153"/>
      <c r="I74" s="153"/>
      <c r="J74" s="153"/>
    </row>
    <row r="75" spans="2:10" x14ac:dyDescent="0.25">
      <c r="B75" s="150" t="s">
        <v>23</v>
      </c>
      <c r="C75" s="823" t="s">
        <v>1779</v>
      </c>
      <c r="D75" s="723"/>
      <c r="E75" s="153" t="s">
        <v>42</v>
      </c>
      <c r="F75" s="153" t="s">
        <v>1772</v>
      </c>
      <c r="G75" s="153" t="s">
        <v>1780</v>
      </c>
      <c r="H75" s="153" t="s">
        <v>42</v>
      </c>
      <c r="I75" s="153" t="s">
        <v>1772</v>
      </c>
      <c r="J75" s="153" t="s">
        <v>1781</v>
      </c>
    </row>
    <row r="76" spans="2:10" x14ac:dyDescent="0.25">
      <c r="B76" s="150" t="s">
        <v>24</v>
      </c>
      <c r="C76" s="823" t="s">
        <v>1782</v>
      </c>
      <c r="D76" s="723"/>
      <c r="E76" s="153"/>
      <c r="F76" s="153"/>
      <c r="G76" s="153"/>
      <c r="H76" s="153"/>
      <c r="I76" s="153"/>
      <c r="J76" s="153"/>
    </row>
    <row r="77" spans="2:10" x14ac:dyDescent="0.25">
      <c r="B77" s="816" t="s">
        <v>25</v>
      </c>
      <c r="C77" s="823" t="s">
        <v>1590</v>
      </c>
      <c r="D77" s="723"/>
      <c r="E77" s="153"/>
      <c r="F77" s="153"/>
      <c r="G77" s="153"/>
      <c r="H77" s="153"/>
      <c r="I77" s="153"/>
      <c r="J77" s="153"/>
    </row>
    <row r="78" spans="2:10" x14ac:dyDescent="0.25">
      <c r="B78" s="816"/>
      <c r="C78" s="823"/>
      <c r="D78" s="723"/>
      <c r="E78" s="153"/>
      <c r="F78" s="153"/>
      <c r="G78" s="153"/>
      <c r="H78" s="153"/>
      <c r="I78" s="153"/>
      <c r="J78" s="153"/>
    </row>
    <row r="79" spans="2:10" x14ac:dyDescent="0.25">
      <c r="B79" s="816" t="s">
        <v>26</v>
      </c>
      <c r="C79" s="823" t="s">
        <v>791</v>
      </c>
      <c r="D79" s="723"/>
      <c r="E79" s="153"/>
      <c r="F79" s="153"/>
      <c r="G79" s="153"/>
      <c r="H79" s="153"/>
      <c r="I79" s="153"/>
      <c r="J79" s="153"/>
    </row>
    <row r="80" spans="2:10" x14ac:dyDescent="0.25">
      <c r="B80" s="816"/>
      <c r="C80" s="823"/>
      <c r="D80" s="723"/>
      <c r="E80" s="153"/>
      <c r="F80" s="153"/>
      <c r="G80" s="153"/>
      <c r="H80" s="153"/>
      <c r="I80" s="153"/>
      <c r="J80" s="153"/>
    </row>
    <row r="81" spans="2:11" x14ac:dyDescent="0.25">
      <c r="B81" s="74" t="s">
        <v>27</v>
      </c>
      <c r="C81" s="878" t="s">
        <v>798</v>
      </c>
      <c r="D81" s="898"/>
      <c r="E81" s="153"/>
      <c r="F81" s="153"/>
      <c r="G81" s="153"/>
      <c r="H81" s="153"/>
      <c r="I81" s="153"/>
      <c r="J81" s="153"/>
    </row>
    <row r="82" spans="2:11" ht="15" customHeight="1" x14ac:dyDescent="0.25">
      <c r="B82" s="11"/>
      <c r="C82" s="28"/>
      <c r="D82" s="28"/>
    </row>
    <row r="83" spans="2:11" ht="15" customHeight="1" x14ac:dyDescent="0.25">
      <c r="B83" s="11"/>
      <c r="C83" s="28"/>
      <c r="D83" s="28"/>
    </row>
    <row r="84" spans="2:11" ht="15" customHeight="1" x14ac:dyDescent="0.25">
      <c r="B84" s="11"/>
      <c r="C84" s="28"/>
      <c r="D84" s="28"/>
    </row>
    <row r="85" spans="2:11" ht="15.75" thickBot="1" x14ac:dyDescent="0.3">
      <c r="B85" s="11"/>
      <c r="C85" s="24"/>
      <c r="D85" s="24"/>
      <c r="E85" s="24"/>
      <c r="F85" s="1"/>
      <c r="G85" s="218"/>
      <c r="H85" s="1"/>
      <c r="I85" s="25"/>
      <c r="J85" s="25"/>
      <c r="K85" s="25"/>
    </row>
    <row r="86" spans="2:11" ht="30" customHeight="1" x14ac:dyDescent="0.25">
      <c r="B86" s="27" t="s">
        <v>120</v>
      </c>
      <c r="C86" s="26" t="s">
        <v>163</v>
      </c>
      <c r="D86" s="163" t="s">
        <v>164</v>
      </c>
      <c r="E86" s="27" t="s">
        <v>165</v>
      </c>
    </row>
    <row r="87" spans="2:11" ht="30" customHeight="1" x14ac:dyDescent="0.25">
      <c r="B87" s="164"/>
      <c r="C87" s="166"/>
      <c r="D87" s="165"/>
      <c r="E87" s="883" t="s">
        <v>1712</v>
      </c>
      <c r="F87" s="883"/>
      <c r="G87" s="883"/>
      <c r="H87" s="885" t="s">
        <v>1713</v>
      </c>
      <c r="I87" s="885"/>
      <c r="J87" s="885"/>
    </row>
    <row r="88" spans="2:11" x14ac:dyDescent="0.25">
      <c r="B88" s="173" t="s">
        <v>685</v>
      </c>
      <c r="C88" s="886" t="s">
        <v>1510</v>
      </c>
      <c r="D88" s="886"/>
      <c r="E88" s="152" t="s">
        <v>1714</v>
      </c>
      <c r="F88" s="152" t="s">
        <v>1715</v>
      </c>
      <c r="G88" s="152" t="s">
        <v>1716</v>
      </c>
      <c r="H88" s="152" t="s">
        <v>1714</v>
      </c>
      <c r="I88" s="152" t="s">
        <v>1715</v>
      </c>
      <c r="J88" s="152" t="s">
        <v>1716</v>
      </c>
    </row>
    <row r="89" spans="2:11" x14ac:dyDescent="0.25">
      <c r="B89" s="161"/>
      <c r="C89" s="869" t="s">
        <v>1783</v>
      </c>
      <c r="D89" s="887"/>
      <c r="E89" s="153" t="s">
        <v>1784</v>
      </c>
      <c r="F89" s="153" t="s">
        <v>1785</v>
      </c>
      <c r="G89" s="153" t="s">
        <v>1786</v>
      </c>
      <c r="H89" s="153" t="s">
        <v>1784</v>
      </c>
      <c r="I89" s="153" t="s">
        <v>1785</v>
      </c>
      <c r="J89" s="153" t="s">
        <v>1786</v>
      </c>
    </row>
    <row r="90" spans="2:11" x14ac:dyDescent="0.25">
      <c r="B90" s="150" t="s">
        <v>44</v>
      </c>
      <c r="C90" s="899" t="s">
        <v>691</v>
      </c>
      <c r="D90" s="899"/>
      <c r="E90" s="153"/>
      <c r="F90" s="153"/>
      <c r="G90" s="153"/>
      <c r="H90" s="153"/>
      <c r="I90" s="153"/>
      <c r="J90" s="153"/>
    </row>
    <row r="91" spans="2:11" x14ac:dyDescent="0.25">
      <c r="B91" s="150" t="s">
        <v>45</v>
      </c>
      <c r="C91" s="814" t="s">
        <v>877</v>
      </c>
      <c r="D91" s="814"/>
      <c r="E91" s="153" t="s">
        <v>1784</v>
      </c>
      <c r="F91" s="153" t="s">
        <v>1787</v>
      </c>
      <c r="G91" s="153" t="s">
        <v>1769</v>
      </c>
      <c r="H91" s="153" t="s">
        <v>1784</v>
      </c>
      <c r="I91" s="153" t="s">
        <v>1787</v>
      </c>
      <c r="J91" s="153" t="s">
        <v>1769</v>
      </c>
    </row>
    <row r="92" spans="2:11" x14ac:dyDescent="0.25">
      <c r="B92" s="150" t="s">
        <v>46</v>
      </c>
      <c r="C92" s="814" t="s">
        <v>884</v>
      </c>
      <c r="D92" s="814"/>
      <c r="E92" s="153" t="s">
        <v>1784</v>
      </c>
      <c r="F92" s="153" t="s">
        <v>1788</v>
      </c>
      <c r="G92" s="153" t="s">
        <v>1253</v>
      </c>
      <c r="H92" s="153" t="s">
        <v>1784</v>
      </c>
      <c r="I92" s="153" t="s">
        <v>1789</v>
      </c>
      <c r="J92" s="153" t="s">
        <v>1790</v>
      </c>
    </row>
    <row r="93" spans="2:11" ht="30" x14ac:dyDescent="0.25">
      <c r="B93" s="150" t="s">
        <v>47</v>
      </c>
      <c r="C93" s="814" t="s">
        <v>1602</v>
      </c>
      <c r="D93" s="814"/>
      <c r="E93" s="153" t="s">
        <v>1784</v>
      </c>
      <c r="F93" s="153" t="s">
        <v>1788</v>
      </c>
      <c r="G93" s="153" t="s">
        <v>1791</v>
      </c>
      <c r="H93" s="153" t="s">
        <v>1784</v>
      </c>
      <c r="I93" s="153" t="s">
        <v>1788</v>
      </c>
      <c r="J93" s="153" t="s">
        <v>1792</v>
      </c>
    </row>
    <row r="94" spans="2:11" x14ac:dyDescent="0.25">
      <c r="B94" s="150" t="s">
        <v>49</v>
      </c>
      <c r="C94" s="814" t="s">
        <v>898</v>
      </c>
      <c r="D94" s="814"/>
      <c r="E94" s="153" t="s">
        <v>1784</v>
      </c>
      <c r="F94" s="153" t="s">
        <v>1793</v>
      </c>
      <c r="G94" s="153" t="s">
        <v>1794</v>
      </c>
      <c r="H94" s="153" t="s">
        <v>1784</v>
      </c>
      <c r="I94" s="153" t="s">
        <v>1793</v>
      </c>
      <c r="J94" s="153" t="s">
        <v>1368</v>
      </c>
    </row>
    <row r="95" spans="2:11" ht="45" x14ac:dyDescent="0.25">
      <c r="B95" s="150" t="s">
        <v>50</v>
      </c>
      <c r="C95" s="814" t="s">
        <v>905</v>
      </c>
      <c r="D95" s="814"/>
      <c r="E95" s="153" t="s">
        <v>1784</v>
      </c>
      <c r="F95" s="153" t="s">
        <v>1793</v>
      </c>
      <c r="G95" s="153" t="s">
        <v>905</v>
      </c>
      <c r="H95" s="153" t="s">
        <v>1784</v>
      </c>
      <c r="I95" s="153" t="s">
        <v>1793</v>
      </c>
      <c r="J95" s="153" t="s">
        <v>1795</v>
      </c>
    </row>
    <row r="96" spans="2:11" x14ac:dyDescent="0.25">
      <c r="B96" s="150" t="s">
        <v>52</v>
      </c>
      <c r="C96" s="814" t="s">
        <v>915</v>
      </c>
      <c r="D96" s="814"/>
      <c r="E96" s="153" t="s">
        <v>1784</v>
      </c>
      <c r="F96" s="153" t="s">
        <v>1793</v>
      </c>
      <c r="G96" s="153" t="s">
        <v>915</v>
      </c>
      <c r="H96" s="153" t="s">
        <v>1784</v>
      </c>
      <c r="I96" s="153" t="s">
        <v>1793</v>
      </c>
      <c r="J96" s="153" t="s">
        <v>915</v>
      </c>
    </row>
    <row r="97" spans="2:10" ht="30" x14ac:dyDescent="0.25">
      <c r="B97" s="150" t="s">
        <v>54</v>
      </c>
      <c r="C97" s="814" t="s">
        <v>922</v>
      </c>
      <c r="D97" s="814"/>
      <c r="E97" s="153" t="s">
        <v>1784</v>
      </c>
      <c r="F97" s="153" t="s">
        <v>1788</v>
      </c>
      <c r="G97" s="153" t="s">
        <v>1796</v>
      </c>
      <c r="H97" s="153" t="s">
        <v>1784</v>
      </c>
      <c r="I97" s="153" t="s">
        <v>1789</v>
      </c>
      <c r="J97" s="153" t="s">
        <v>1797</v>
      </c>
    </row>
    <row r="98" spans="2:10" x14ac:dyDescent="0.25">
      <c r="B98" s="150" t="s">
        <v>55</v>
      </c>
      <c r="C98" s="814" t="s">
        <v>76</v>
      </c>
      <c r="D98" s="814"/>
      <c r="E98" s="153"/>
      <c r="F98" s="153"/>
      <c r="G98" s="153"/>
      <c r="H98" s="153"/>
      <c r="I98" s="153"/>
      <c r="J98" s="153"/>
    </row>
    <row r="99" spans="2:10" x14ac:dyDescent="0.25">
      <c r="B99" s="150" t="s">
        <v>56</v>
      </c>
      <c r="C99" s="814" t="s">
        <v>941</v>
      </c>
      <c r="D99" s="814"/>
      <c r="E99" s="153" t="s">
        <v>1784</v>
      </c>
      <c r="F99" s="153" t="s">
        <v>1798</v>
      </c>
      <c r="G99" s="153" t="s">
        <v>1799</v>
      </c>
      <c r="H99" s="153" t="s">
        <v>1784</v>
      </c>
      <c r="I99" s="153" t="s">
        <v>1800</v>
      </c>
      <c r="J99" s="153" t="s">
        <v>1801</v>
      </c>
    </row>
    <row r="100" spans="2:10" ht="30" x14ac:dyDescent="0.25">
      <c r="B100" s="150" t="s">
        <v>57</v>
      </c>
      <c r="C100" s="814" t="s">
        <v>948</v>
      </c>
      <c r="D100" s="814"/>
      <c r="E100" s="153" t="s">
        <v>1784</v>
      </c>
      <c r="F100" s="153" t="s">
        <v>1798</v>
      </c>
      <c r="G100" s="153" t="s">
        <v>1802</v>
      </c>
      <c r="H100" s="153" t="s">
        <v>1784</v>
      </c>
      <c r="I100" s="153" t="s">
        <v>1803</v>
      </c>
      <c r="J100" s="153" t="s">
        <v>1804</v>
      </c>
    </row>
    <row r="101" spans="2:10" x14ac:dyDescent="0.25">
      <c r="B101" s="150" t="s">
        <v>58</v>
      </c>
      <c r="C101" s="814" t="s">
        <v>77</v>
      </c>
      <c r="D101" s="814"/>
      <c r="E101" s="153"/>
      <c r="F101" s="153"/>
      <c r="G101" s="153"/>
      <c r="H101" s="153"/>
      <c r="I101" s="153"/>
      <c r="J101" s="153"/>
    </row>
    <row r="102" spans="2:10" ht="60" x14ac:dyDescent="0.25">
      <c r="B102" s="150" t="s">
        <v>59</v>
      </c>
      <c r="C102" s="814" t="s">
        <v>1805</v>
      </c>
      <c r="D102" s="814"/>
      <c r="E102" s="153" t="s">
        <v>1784</v>
      </c>
      <c r="F102" s="153" t="s">
        <v>1806</v>
      </c>
      <c r="G102" s="153" t="s">
        <v>1807</v>
      </c>
      <c r="H102" s="153" t="s">
        <v>1784</v>
      </c>
      <c r="I102" s="153" t="s">
        <v>1789</v>
      </c>
      <c r="J102" s="153" t="s">
        <v>1808</v>
      </c>
    </row>
    <row r="103" spans="2:10" x14ac:dyDescent="0.25">
      <c r="B103" s="150" t="s">
        <v>60</v>
      </c>
      <c r="C103" s="814" t="s">
        <v>271</v>
      </c>
      <c r="D103" s="814"/>
      <c r="E103" s="153" t="s">
        <v>1784</v>
      </c>
      <c r="F103" s="153" t="s">
        <v>1793</v>
      </c>
      <c r="G103" s="153" t="s">
        <v>1794</v>
      </c>
      <c r="H103" s="153" t="s">
        <v>1784</v>
      </c>
      <c r="I103" s="153" t="s">
        <v>1793</v>
      </c>
      <c r="J103" s="153" t="s">
        <v>1809</v>
      </c>
    </row>
    <row r="104" spans="2:10" ht="30" x14ac:dyDescent="0.25">
      <c r="B104" s="150" t="s">
        <v>61</v>
      </c>
      <c r="C104" s="814" t="s">
        <v>80</v>
      </c>
      <c r="D104" s="814"/>
      <c r="E104" s="153" t="s">
        <v>1784</v>
      </c>
      <c r="F104" s="153" t="s">
        <v>148</v>
      </c>
      <c r="G104" s="153" t="s">
        <v>1810</v>
      </c>
      <c r="H104" s="153" t="s">
        <v>1784</v>
      </c>
      <c r="I104" s="153" t="s">
        <v>1811</v>
      </c>
      <c r="J104" s="153" t="s">
        <v>1812</v>
      </c>
    </row>
    <row r="105" spans="2:10" x14ac:dyDescent="0.25">
      <c r="B105" s="150" t="s">
        <v>62</v>
      </c>
      <c r="C105" s="814" t="s">
        <v>980</v>
      </c>
      <c r="D105" s="814"/>
      <c r="E105" s="153"/>
      <c r="F105" s="153"/>
      <c r="G105" s="153"/>
      <c r="H105" s="153"/>
      <c r="I105" s="153"/>
      <c r="J105" s="153"/>
    </row>
    <row r="106" spans="2:10" ht="30" x14ac:dyDescent="0.25">
      <c r="B106" s="150" t="s">
        <v>63</v>
      </c>
      <c r="C106" s="803" t="s">
        <v>81</v>
      </c>
      <c r="D106" s="804"/>
      <c r="E106" s="153" t="s">
        <v>1784</v>
      </c>
      <c r="F106" s="155" t="s">
        <v>1813</v>
      </c>
      <c r="G106" s="153" t="s">
        <v>1814</v>
      </c>
      <c r="H106" s="153" t="s">
        <v>1784</v>
      </c>
      <c r="I106" s="155" t="s">
        <v>1813</v>
      </c>
      <c r="J106" s="153" t="s">
        <v>1814</v>
      </c>
    </row>
    <row r="107" spans="2:10" ht="30" x14ac:dyDescent="0.25">
      <c r="B107" s="150" t="s">
        <v>64</v>
      </c>
      <c r="C107" s="803" t="s">
        <v>994</v>
      </c>
      <c r="D107" s="804"/>
      <c r="E107" s="153" t="s">
        <v>1784</v>
      </c>
      <c r="F107" s="155" t="s">
        <v>1813</v>
      </c>
      <c r="G107" s="153" t="s">
        <v>994</v>
      </c>
      <c r="H107" s="153" t="s">
        <v>1784</v>
      </c>
      <c r="I107" s="155" t="s">
        <v>1813</v>
      </c>
      <c r="J107" s="153" t="s">
        <v>994</v>
      </c>
    </row>
    <row r="108" spans="2:10" ht="30" x14ac:dyDescent="0.25">
      <c r="B108" s="150" t="s">
        <v>65</v>
      </c>
      <c r="C108" s="814" t="s">
        <v>558</v>
      </c>
      <c r="D108" s="814"/>
      <c r="E108" s="153" t="s">
        <v>1784</v>
      </c>
      <c r="F108" s="155" t="s">
        <v>1813</v>
      </c>
      <c r="G108" s="153" t="s">
        <v>994</v>
      </c>
      <c r="H108" s="153" t="s">
        <v>1784</v>
      </c>
      <c r="I108" s="155" t="s">
        <v>1813</v>
      </c>
      <c r="J108" s="153" t="s">
        <v>994</v>
      </c>
    </row>
    <row r="109" spans="2:10" x14ac:dyDescent="0.25">
      <c r="B109" s="150" t="s">
        <v>53</v>
      </c>
      <c r="C109" s="814" t="s">
        <v>741</v>
      </c>
      <c r="D109" s="814"/>
      <c r="E109" s="888" t="s">
        <v>1815</v>
      </c>
      <c r="F109" s="889"/>
      <c r="G109" s="890"/>
      <c r="H109" s="888" t="s">
        <v>1816</v>
      </c>
      <c r="I109" s="889"/>
      <c r="J109" s="890"/>
    </row>
    <row r="110" spans="2:10" x14ac:dyDescent="0.25">
      <c r="B110" s="74" t="s">
        <v>66</v>
      </c>
      <c r="C110" s="820" t="s">
        <v>1004</v>
      </c>
      <c r="D110" s="820"/>
      <c r="E110" s="153"/>
      <c r="F110" s="153"/>
      <c r="G110" s="153"/>
      <c r="H110" s="153"/>
      <c r="I110" s="153"/>
      <c r="J110" s="153"/>
    </row>
    <row r="111" spans="2:10" ht="15" customHeight="1" x14ac:dyDescent="0.25">
      <c r="B111" s="11"/>
      <c r="C111" s="28"/>
      <c r="D111" s="28"/>
    </row>
    <row r="112" spans="2:10" ht="15" customHeight="1" x14ac:dyDescent="0.25">
      <c r="B112" s="11"/>
      <c r="C112" s="28"/>
      <c r="D112" s="28"/>
    </row>
    <row r="113" spans="2:11" ht="15" customHeight="1" x14ac:dyDescent="0.25">
      <c r="B113" s="11"/>
      <c r="C113" s="28"/>
      <c r="D113" s="28"/>
    </row>
    <row r="114" spans="2:11" ht="15.75" thickBot="1" x14ac:dyDescent="0.3">
      <c r="B114" s="11"/>
      <c r="C114" s="24"/>
      <c r="D114" s="24"/>
      <c r="E114" s="28"/>
      <c r="F114" s="28"/>
      <c r="G114" s="25"/>
      <c r="H114" s="28"/>
      <c r="I114" s="28"/>
      <c r="J114" s="25"/>
      <c r="K114" s="28"/>
    </row>
    <row r="115" spans="2:11" ht="30" customHeight="1" x14ac:dyDescent="0.25">
      <c r="B115" s="107" t="s">
        <v>120</v>
      </c>
      <c r="C115" s="26" t="s">
        <v>163</v>
      </c>
      <c r="D115" s="107" t="s">
        <v>164</v>
      </c>
      <c r="E115" s="163" t="s">
        <v>165</v>
      </c>
      <c r="K115" s="28"/>
    </row>
    <row r="116" spans="2:11" ht="21" x14ac:dyDescent="0.25">
      <c r="B116" s="164"/>
      <c r="C116" s="166"/>
      <c r="D116" s="165"/>
      <c r="E116" s="883" t="s">
        <v>1712</v>
      </c>
      <c r="F116" s="883"/>
      <c r="G116" s="883"/>
      <c r="H116" s="885" t="s">
        <v>1713</v>
      </c>
      <c r="I116" s="885"/>
      <c r="J116" s="885"/>
      <c r="K116" s="28"/>
    </row>
    <row r="117" spans="2:11" ht="15" customHeight="1" x14ac:dyDescent="0.25">
      <c r="B117" s="172" t="s">
        <v>685</v>
      </c>
      <c r="C117" s="886" t="s">
        <v>1510</v>
      </c>
      <c r="D117" s="886"/>
      <c r="E117" s="152" t="s">
        <v>1714</v>
      </c>
      <c r="F117" s="152" t="s">
        <v>1715</v>
      </c>
      <c r="G117" s="152" t="s">
        <v>1716</v>
      </c>
      <c r="H117" s="152" t="s">
        <v>1714</v>
      </c>
      <c r="I117" s="152" t="s">
        <v>1715</v>
      </c>
      <c r="J117" s="152" t="s">
        <v>1716</v>
      </c>
    </row>
    <row r="118" spans="2:11" x14ac:dyDescent="0.25">
      <c r="B118" s="174"/>
      <c r="C118" s="893" t="s">
        <v>1817</v>
      </c>
      <c r="D118" s="894"/>
      <c r="E118" s="175" t="s">
        <v>1784</v>
      </c>
      <c r="F118" s="175" t="s">
        <v>1818</v>
      </c>
      <c r="G118" s="153" t="s">
        <v>1819</v>
      </c>
      <c r="H118" s="153" t="s">
        <v>1784</v>
      </c>
      <c r="I118" s="153" t="s">
        <v>1818</v>
      </c>
      <c r="J118" s="153" t="s">
        <v>1819</v>
      </c>
    </row>
    <row r="119" spans="2:11" ht="63.75" customHeight="1" x14ac:dyDescent="0.25">
      <c r="B119" s="76" t="s">
        <v>91</v>
      </c>
      <c r="C119" s="891" t="s">
        <v>691</v>
      </c>
      <c r="D119" s="892"/>
      <c r="E119" s="176" t="s">
        <v>1784</v>
      </c>
      <c r="F119" s="176" t="s">
        <v>547</v>
      </c>
      <c r="G119" s="153" t="s">
        <v>1820</v>
      </c>
      <c r="H119" s="153" t="s">
        <v>1784</v>
      </c>
      <c r="I119" s="153" t="s">
        <v>547</v>
      </c>
      <c r="J119" s="153" t="s">
        <v>1821</v>
      </c>
    </row>
    <row r="120" spans="2:11" x14ac:dyDescent="0.25">
      <c r="B120" s="76" t="s">
        <v>92</v>
      </c>
      <c r="C120" s="891" t="s">
        <v>1127</v>
      </c>
      <c r="D120" s="892"/>
      <c r="E120" s="153" t="s">
        <v>1784</v>
      </c>
      <c r="F120" s="153" t="s">
        <v>547</v>
      </c>
      <c r="G120" s="153" t="s">
        <v>1769</v>
      </c>
      <c r="H120" s="153" t="s">
        <v>1784</v>
      </c>
      <c r="I120" s="153" t="s">
        <v>547</v>
      </c>
      <c r="J120" s="153" t="s">
        <v>1769</v>
      </c>
    </row>
    <row r="121" spans="2:11" x14ac:dyDescent="0.25">
      <c r="B121" s="76" t="s">
        <v>93</v>
      </c>
      <c r="C121" s="891" t="s">
        <v>1133</v>
      </c>
      <c r="D121" s="892"/>
      <c r="E121" s="153" t="s">
        <v>1784</v>
      </c>
      <c r="F121" s="153" t="s">
        <v>547</v>
      </c>
      <c r="G121" s="153" t="s">
        <v>1822</v>
      </c>
      <c r="H121" s="153" t="s">
        <v>1784</v>
      </c>
      <c r="I121" s="153" t="s">
        <v>547</v>
      </c>
      <c r="J121" s="153" t="s">
        <v>1133</v>
      </c>
    </row>
    <row r="122" spans="2:11" x14ac:dyDescent="0.25">
      <c r="B122" s="76" t="s">
        <v>96</v>
      </c>
      <c r="C122" s="891" t="s">
        <v>748</v>
      </c>
      <c r="D122" s="892"/>
      <c r="E122" s="153" t="s">
        <v>1784</v>
      </c>
      <c r="F122" s="153" t="s">
        <v>547</v>
      </c>
      <c r="G122" s="153" t="s">
        <v>1822</v>
      </c>
      <c r="H122" s="153" t="s">
        <v>1784</v>
      </c>
      <c r="I122" s="153" t="s">
        <v>547</v>
      </c>
      <c r="J122" s="153" t="s">
        <v>1823</v>
      </c>
    </row>
    <row r="123" spans="2:11" x14ac:dyDescent="0.25">
      <c r="B123" s="76" t="s">
        <v>97</v>
      </c>
      <c r="C123" s="891" t="s">
        <v>1141</v>
      </c>
      <c r="D123" s="892"/>
      <c r="E123" s="153" t="s">
        <v>1784</v>
      </c>
      <c r="F123" s="153" t="s">
        <v>547</v>
      </c>
      <c r="G123" s="153" t="s">
        <v>1822</v>
      </c>
      <c r="H123" s="153" t="s">
        <v>1784</v>
      </c>
      <c r="I123" s="153" t="s">
        <v>547</v>
      </c>
      <c r="J123" s="153" t="s">
        <v>1824</v>
      </c>
    </row>
    <row r="124" spans="2:11" x14ac:dyDescent="0.25">
      <c r="B124" s="76" t="s">
        <v>98</v>
      </c>
      <c r="C124" s="891" t="s">
        <v>1635</v>
      </c>
      <c r="D124" s="892"/>
      <c r="E124" s="153" t="s">
        <v>1784</v>
      </c>
      <c r="F124" s="153" t="s">
        <v>547</v>
      </c>
      <c r="G124" s="153" t="s">
        <v>1822</v>
      </c>
      <c r="H124" s="153" t="s">
        <v>1784</v>
      </c>
      <c r="I124" s="153" t="s">
        <v>547</v>
      </c>
      <c r="J124" s="153" t="s">
        <v>1825</v>
      </c>
    </row>
    <row r="125" spans="2:11" x14ac:dyDescent="0.25">
      <c r="B125" s="76" t="s">
        <v>99</v>
      </c>
      <c r="C125" s="891" t="s">
        <v>1147</v>
      </c>
      <c r="D125" s="892"/>
      <c r="E125" s="153" t="s">
        <v>1784</v>
      </c>
      <c r="F125" s="153" t="s">
        <v>547</v>
      </c>
      <c r="G125" s="153" t="s">
        <v>1822</v>
      </c>
      <c r="H125" s="153"/>
      <c r="I125" s="153"/>
      <c r="J125" s="153"/>
    </row>
    <row r="126" spans="2:11" x14ac:dyDescent="0.25">
      <c r="B126" s="76" t="s">
        <v>94</v>
      </c>
      <c r="C126" s="891" t="s">
        <v>1152</v>
      </c>
      <c r="D126" s="892"/>
      <c r="E126" s="153" t="s">
        <v>1784</v>
      </c>
      <c r="F126" s="153" t="s">
        <v>547</v>
      </c>
      <c r="G126" s="153" t="s">
        <v>1822</v>
      </c>
      <c r="H126" s="153" t="s">
        <v>1784</v>
      </c>
      <c r="I126" s="153" t="s">
        <v>547</v>
      </c>
      <c r="J126" s="153" t="s">
        <v>1152</v>
      </c>
    </row>
    <row r="127" spans="2:11" x14ac:dyDescent="0.25">
      <c r="B127" s="76" t="s">
        <v>100</v>
      </c>
      <c r="C127" s="891" t="s">
        <v>1158</v>
      </c>
      <c r="D127" s="892"/>
      <c r="E127" s="153" t="s">
        <v>1784</v>
      </c>
      <c r="F127" s="153" t="s">
        <v>547</v>
      </c>
      <c r="G127" s="153" t="s">
        <v>1822</v>
      </c>
      <c r="H127" s="153"/>
      <c r="I127" s="153"/>
      <c r="J127" s="153"/>
    </row>
    <row r="128" spans="2:11" x14ac:dyDescent="0.25">
      <c r="B128" s="76" t="s">
        <v>101</v>
      </c>
      <c r="C128" s="891" t="s">
        <v>1164</v>
      </c>
      <c r="D128" s="892"/>
      <c r="E128" s="153" t="s">
        <v>1784</v>
      </c>
      <c r="F128" s="153" t="s">
        <v>547</v>
      </c>
      <c r="G128" s="153" t="s">
        <v>1826</v>
      </c>
      <c r="H128" s="153" t="s">
        <v>1784</v>
      </c>
      <c r="I128" s="153" t="s">
        <v>547</v>
      </c>
      <c r="J128" s="153" t="s">
        <v>1164</v>
      </c>
    </row>
    <row r="129" spans="2:10" x14ac:dyDescent="0.25">
      <c r="B129" s="76" t="s">
        <v>102</v>
      </c>
      <c r="C129" s="891" t="s">
        <v>1170</v>
      </c>
      <c r="D129" s="892"/>
      <c r="E129" s="153" t="s">
        <v>1784</v>
      </c>
      <c r="F129" s="153" t="s">
        <v>547</v>
      </c>
      <c r="G129" s="153" t="s">
        <v>1827</v>
      </c>
      <c r="H129" s="153" t="s">
        <v>1784</v>
      </c>
      <c r="I129" s="153" t="s">
        <v>547</v>
      </c>
      <c r="J129" s="153" t="s">
        <v>1828</v>
      </c>
    </row>
    <row r="130" spans="2:10" x14ac:dyDescent="0.25">
      <c r="B130" s="76" t="s">
        <v>95</v>
      </c>
      <c r="C130" s="891" t="s">
        <v>1176</v>
      </c>
      <c r="D130" s="892"/>
      <c r="E130" s="153"/>
      <c r="F130" s="153"/>
      <c r="G130" s="153"/>
      <c r="H130" s="153"/>
      <c r="I130" s="153"/>
      <c r="J130" s="153"/>
    </row>
    <row r="131" spans="2:10" x14ac:dyDescent="0.25">
      <c r="B131" s="76" t="s">
        <v>103</v>
      </c>
      <c r="C131" s="891" t="s">
        <v>1182</v>
      </c>
      <c r="D131" s="892"/>
      <c r="E131" s="153"/>
      <c r="F131" s="153"/>
      <c r="G131" s="153"/>
      <c r="H131" s="153"/>
      <c r="I131" s="153"/>
      <c r="J131" s="153"/>
    </row>
    <row r="132" spans="2:10" ht="30" customHeight="1" x14ac:dyDescent="0.25"/>
    <row r="134" spans="2:10" ht="15" customHeight="1" x14ac:dyDescent="0.25"/>
    <row r="135" spans="2:10" ht="15" customHeight="1" x14ac:dyDescent="0.25"/>
    <row r="140" spans="2:10" ht="24" customHeight="1" x14ac:dyDescent="0.25"/>
    <row r="145" spans="1:11" ht="15" customHeight="1" x14ac:dyDescent="0.25"/>
    <row r="146" spans="1:11" ht="15" customHeight="1" x14ac:dyDescent="0.25"/>
    <row r="147" spans="1:11" ht="30" customHeight="1" x14ac:dyDescent="0.25"/>
    <row r="148" spans="1:11" ht="15" customHeight="1" x14ac:dyDescent="0.25"/>
    <row r="149" spans="1:11" ht="15" customHeight="1" x14ac:dyDescent="0.25"/>
    <row r="150" spans="1:11" ht="30" customHeight="1" x14ac:dyDescent="0.25"/>
    <row r="152" spans="1:11" ht="15" customHeight="1" x14ac:dyDescent="0.25"/>
    <row r="153" spans="1:11" ht="30" customHeight="1" x14ac:dyDescent="0.25"/>
    <row r="154" spans="1:11" ht="30" customHeight="1" x14ac:dyDescent="0.25"/>
    <row r="155" spans="1:11" s="100" customFormat="1" ht="30" customHeight="1" x14ac:dyDescent="0.25">
      <c r="A155"/>
      <c r="B155"/>
      <c r="C155"/>
      <c r="D155"/>
      <c r="E155"/>
      <c r="F155"/>
      <c r="H155"/>
      <c r="I155"/>
      <c r="K155"/>
    </row>
    <row r="156" spans="1:11" ht="30" customHeight="1" x14ac:dyDescent="0.25"/>
    <row r="159" spans="1:11" ht="15" customHeight="1" x14ac:dyDescent="0.25"/>
    <row r="160" spans="1:11" ht="30" customHeight="1" x14ac:dyDescent="0.25"/>
    <row r="161" ht="15" customHeight="1" x14ac:dyDescent="0.25"/>
    <row r="162" ht="15" customHeight="1" x14ac:dyDescent="0.25"/>
    <row r="163" ht="30" customHeight="1" x14ac:dyDescent="0.25"/>
    <row r="164" ht="24" customHeight="1" x14ac:dyDescent="0.25"/>
    <row r="165" ht="24" customHeight="1" x14ac:dyDescent="0.25"/>
    <row r="166" ht="30" customHeight="1" x14ac:dyDescent="0.25"/>
    <row r="169" ht="30" customHeight="1" x14ac:dyDescent="0.25"/>
    <row r="170" ht="30" customHeight="1" x14ac:dyDescent="0.25"/>
    <row r="171" ht="45" customHeight="1" x14ac:dyDescent="0.25"/>
    <row r="176" ht="30" customHeight="1" x14ac:dyDescent="0.25"/>
    <row r="187" ht="30" customHeight="1" x14ac:dyDescent="0.25"/>
    <row r="188" ht="15" customHeight="1" x14ac:dyDescent="0.25"/>
    <row r="192" ht="30" customHeight="1" x14ac:dyDescent="0.25"/>
    <row r="193" ht="15" customHeight="1" x14ac:dyDescent="0.25"/>
  </sheetData>
  <mergeCells count="111">
    <mergeCell ref="B2:C2"/>
    <mergeCell ref="B3:F3"/>
    <mergeCell ref="B4:F4"/>
    <mergeCell ref="B5:F5"/>
    <mergeCell ref="C130:D130"/>
    <mergeCell ref="C131:D131"/>
    <mergeCell ref="E116:G116"/>
    <mergeCell ref="C129:D129"/>
    <mergeCell ref="C127:D127"/>
    <mergeCell ref="C128:D128"/>
    <mergeCell ref="C125:D125"/>
    <mergeCell ref="C126:D126"/>
    <mergeCell ref="C123:D123"/>
    <mergeCell ref="C124:D124"/>
    <mergeCell ref="C121:D121"/>
    <mergeCell ref="C122:D122"/>
    <mergeCell ref="C120:D120"/>
    <mergeCell ref="C92:D92"/>
    <mergeCell ref="C93:D93"/>
    <mergeCell ref="C89:D89"/>
    <mergeCell ref="C91:D91"/>
    <mergeCell ref="C81:D81"/>
    <mergeCell ref="C94:D94"/>
    <mergeCell ref="C90:D90"/>
    <mergeCell ref="H116:J116"/>
    <mergeCell ref="C106:D106"/>
    <mergeCell ref="C108:D108"/>
    <mergeCell ref="C109:D109"/>
    <mergeCell ref="E87:G87"/>
    <mergeCell ref="H87:J87"/>
    <mergeCell ref="E109:G109"/>
    <mergeCell ref="H109:J109"/>
    <mergeCell ref="C119:D119"/>
    <mergeCell ref="C118:D118"/>
    <mergeCell ref="C110:D110"/>
    <mergeCell ref="C117:D117"/>
    <mergeCell ref="C107:D107"/>
    <mergeCell ref="C104:D104"/>
    <mergeCell ref="C105:D105"/>
    <mergeCell ref="C102:D102"/>
    <mergeCell ref="C103:D103"/>
    <mergeCell ref="C100:D100"/>
    <mergeCell ref="C101:D101"/>
    <mergeCell ref="C98:D98"/>
    <mergeCell ref="C99:D99"/>
    <mergeCell ref="C96:D96"/>
    <mergeCell ref="C97:D97"/>
    <mergeCell ref="C95:D95"/>
    <mergeCell ref="B77:B78"/>
    <mergeCell ref="C77:D78"/>
    <mergeCell ref="C88:D88"/>
    <mergeCell ref="B79:B80"/>
    <mergeCell ref="C79:D80"/>
    <mergeCell ref="C70:D70"/>
    <mergeCell ref="C71:D71"/>
    <mergeCell ref="C68:D68"/>
    <mergeCell ref="C69:D69"/>
    <mergeCell ref="C74:D74"/>
    <mergeCell ref="C75:D75"/>
    <mergeCell ref="C72:D72"/>
    <mergeCell ref="C73:D73"/>
    <mergeCell ref="C76:D76"/>
    <mergeCell ref="H58:J58"/>
    <mergeCell ref="C59:D59"/>
    <mergeCell ref="C60:D60"/>
    <mergeCell ref="E58:G58"/>
    <mergeCell ref="C66:D66"/>
    <mergeCell ref="C67:D67"/>
    <mergeCell ref="C65:D65"/>
    <mergeCell ref="C49:D49"/>
    <mergeCell ref="C40:D40"/>
    <mergeCell ref="C41:D41"/>
    <mergeCell ref="C42:D42"/>
    <mergeCell ref="C43:D43"/>
    <mergeCell ref="C45:D45"/>
    <mergeCell ref="C47:D47"/>
    <mergeCell ref="C44:D44"/>
    <mergeCell ref="C61:D61"/>
    <mergeCell ref="C48:D48"/>
    <mergeCell ref="C50:D50"/>
    <mergeCell ref="C51:D51"/>
    <mergeCell ref="C52:D52"/>
    <mergeCell ref="C63:D63"/>
    <mergeCell ref="C64:D64"/>
    <mergeCell ref="H10:J10"/>
    <mergeCell ref="C18:D18"/>
    <mergeCell ref="C19:D19"/>
    <mergeCell ref="C21:D21"/>
    <mergeCell ref="C16:D16"/>
    <mergeCell ref="C17:D17"/>
    <mergeCell ref="C28:D28"/>
    <mergeCell ref="C22:D22"/>
    <mergeCell ref="C26:D26"/>
    <mergeCell ref="C27:D27"/>
    <mergeCell ref="C37:D37"/>
    <mergeCell ref="C38:D38"/>
    <mergeCell ref="C31:D31"/>
    <mergeCell ref="E10:G10"/>
    <mergeCell ref="C39:D39"/>
    <mergeCell ref="C13:D13"/>
    <mergeCell ref="C14:D14"/>
    <mergeCell ref="C15:D15"/>
    <mergeCell ref="C46:D46"/>
    <mergeCell ref="C11:D11"/>
    <mergeCell ref="C12:D12"/>
    <mergeCell ref="C32:D32"/>
    <mergeCell ref="C29:D29"/>
    <mergeCell ref="C35:D35"/>
    <mergeCell ref="C33:D33"/>
    <mergeCell ref="C34:D34"/>
    <mergeCell ref="C36:D36"/>
  </mergeCells>
  <conditionalFormatting sqref="E41">
    <cfRule type="containsBlanks" dxfId="12" priority="42">
      <formula>LEN(TRIM(E41))=0</formula>
    </cfRule>
  </conditionalFormatting>
  <conditionalFormatting sqref="E16:F16 H16:J16 E66 E109 H109 E110:J110">
    <cfRule type="containsBlanks" dxfId="11" priority="63">
      <formula>LEN(TRIM(E16))=0</formula>
    </cfRule>
  </conditionalFormatting>
  <conditionalFormatting sqref="E10:J15">
    <cfRule type="containsBlanks" dxfId="10" priority="38">
      <formula>LEN(TRIM(E10))=0</formula>
    </cfRule>
  </conditionalFormatting>
  <conditionalFormatting sqref="E17:J35">
    <cfRule type="containsBlanks" dxfId="9" priority="1">
      <formula>LEN(TRIM(E17))=0</formula>
    </cfRule>
  </conditionalFormatting>
  <conditionalFormatting sqref="E37:J52">
    <cfRule type="containsBlanks" dxfId="8" priority="6">
      <formula>LEN(TRIM(E37))=0</formula>
    </cfRule>
  </conditionalFormatting>
  <conditionalFormatting sqref="E58:J65">
    <cfRule type="containsBlanks" dxfId="7" priority="5">
      <formula>LEN(TRIM(E58))=0</formula>
    </cfRule>
  </conditionalFormatting>
  <conditionalFormatting sqref="E67:J81">
    <cfRule type="containsBlanks" dxfId="6" priority="14">
      <formula>LEN(TRIM(E67))=0</formula>
    </cfRule>
  </conditionalFormatting>
  <conditionalFormatting sqref="E87:J108">
    <cfRule type="containsBlanks" dxfId="5" priority="13">
      <formula>LEN(TRIM(E87))=0</formula>
    </cfRule>
  </conditionalFormatting>
  <conditionalFormatting sqref="E116:J131">
    <cfRule type="containsBlanks" dxfId="4" priority="9">
      <formula>LEN(TRIM(E116))=0</formula>
    </cfRule>
  </conditionalFormatting>
  <conditionalFormatting sqref="F36:G36">
    <cfRule type="containsBlanks" dxfId="3" priority="43">
      <formula>LEN(TRIM(F36))=0</formula>
    </cfRule>
  </conditionalFormatting>
  <conditionalFormatting sqref="G66:H66 J66">
    <cfRule type="containsBlanks" dxfId="2" priority="16">
      <formula>LEN(TRIM(G66))=0</formula>
    </cfRule>
  </conditionalFormatting>
  <conditionalFormatting sqref="H41">
    <cfRule type="containsBlanks" dxfId="1" priority="41">
      <formula>LEN(TRIM(H41))=0</formula>
    </cfRule>
  </conditionalFormatting>
  <conditionalFormatting sqref="I36:J36">
    <cfRule type="containsBlanks" dxfId="0" priority="26">
      <formula>LEN(TRIM(I36))=0</formula>
    </cfRule>
  </conditionalFormatting>
  <pageMargins left="0.19685039370078741" right="0.19685039370078741" top="0.19685039370078741" bottom="0.19685039370078741" header="0" footer="0"/>
  <pageSetup scale="46" fitToHeight="0" orientation="landscape" horizontalDpi="300" r:id="rId1"/>
  <headerFooter>
    <oddFooter>&amp;LUnrestricted</oddFooter>
  </headerFooter>
  <rowBreaks count="1" manualBreakCount="1">
    <brk id="56" min="1" max="9" man="1"/>
  </rowBreaks>
  <customProperties>
    <customPr name="EpmWorksheetKeyString_GUI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J70"/>
  <sheetViews>
    <sheetView showGridLines="0" zoomScaleNormal="100" workbookViewId="0">
      <selection activeCell="B14" sqref="B14:H14"/>
    </sheetView>
  </sheetViews>
  <sheetFormatPr baseColWidth="10" defaultColWidth="9.140625" defaultRowHeight="15" x14ac:dyDescent="0.25"/>
  <cols>
    <col min="3" max="3" width="30" customWidth="1"/>
    <col min="4" max="4" width="9.140625" customWidth="1"/>
    <col min="5" max="5" width="30" customWidth="1"/>
    <col min="6" max="6" width="31" bestFit="1" customWidth="1"/>
    <col min="7" max="7" width="31" customWidth="1"/>
    <col min="8" max="8" width="27.5703125" bestFit="1" customWidth="1"/>
    <col min="9" max="9" width="23.5703125" bestFit="1" customWidth="1"/>
    <col min="10" max="10" width="14.42578125" bestFit="1" customWidth="1"/>
    <col min="12" max="13" width="11" customWidth="1"/>
  </cols>
  <sheetData>
    <row r="2" spans="2:10" ht="15.75" thickBot="1" x14ac:dyDescent="0.3"/>
    <row r="3" spans="2:10" ht="30" customHeight="1" thickBot="1" x14ac:dyDescent="0.3">
      <c r="B3" s="900" t="s">
        <v>1829</v>
      </c>
      <c r="C3" s="901"/>
      <c r="D3" s="182"/>
      <c r="E3" s="184"/>
      <c r="F3" s="183"/>
    </row>
    <row r="4" spans="2:10" ht="30" customHeight="1" x14ac:dyDescent="0.25">
      <c r="B4" s="902" t="s">
        <v>1830</v>
      </c>
      <c r="C4" s="903"/>
      <c r="D4" s="904" t="s">
        <v>1831</v>
      </c>
      <c r="E4" s="905"/>
      <c r="F4" s="122" t="s">
        <v>1832</v>
      </c>
      <c r="G4" s="122" t="s">
        <v>1833</v>
      </c>
      <c r="H4" s="251" t="s">
        <v>1834</v>
      </c>
      <c r="I4" s="250" t="s">
        <v>1835</v>
      </c>
      <c r="J4" s="252" t="s">
        <v>1836</v>
      </c>
    </row>
    <row r="5" spans="2:10" x14ac:dyDescent="0.25">
      <c r="B5" s="123" t="s">
        <v>1837</v>
      </c>
      <c r="C5" s="83" t="s">
        <v>1838</v>
      </c>
      <c r="D5" s="123" t="s">
        <v>1837</v>
      </c>
      <c r="E5" s="83" t="s">
        <v>1838</v>
      </c>
      <c r="F5" s="124" t="s">
        <v>7</v>
      </c>
      <c r="G5" s="124" t="s">
        <v>7</v>
      </c>
      <c r="H5" s="124" t="s">
        <v>618</v>
      </c>
      <c r="I5" s="124" t="s">
        <v>88</v>
      </c>
      <c r="J5" s="124" t="s">
        <v>87</v>
      </c>
    </row>
    <row r="6" spans="2:10" x14ac:dyDescent="0.25">
      <c r="B6" s="84" t="s">
        <v>1839</v>
      </c>
      <c r="C6" s="85" t="s">
        <v>1840</v>
      </c>
      <c r="D6" s="84" t="s">
        <v>1839</v>
      </c>
      <c r="E6" s="85" t="s">
        <v>1840</v>
      </c>
      <c r="F6" s="125" t="s">
        <v>1841</v>
      </c>
      <c r="G6" s="125" t="s">
        <v>1841</v>
      </c>
      <c r="H6" s="125" t="s">
        <v>1842</v>
      </c>
      <c r="I6" s="126" t="s">
        <v>1843</v>
      </c>
      <c r="J6" s="85" t="s">
        <v>1844</v>
      </c>
    </row>
    <row r="7" spans="2:10" x14ac:dyDescent="0.25">
      <c r="B7" s="84" t="s">
        <v>1845</v>
      </c>
      <c r="C7" s="85" t="s">
        <v>1846</v>
      </c>
      <c r="D7" s="84" t="s">
        <v>1845</v>
      </c>
      <c r="E7" s="85" t="s">
        <v>1846</v>
      </c>
      <c r="F7" s="125" t="s">
        <v>1847</v>
      </c>
      <c r="G7" s="125" t="s">
        <v>1847</v>
      </c>
      <c r="H7" s="123"/>
      <c r="J7" s="126" t="s">
        <v>1848</v>
      </c>
    </row>
    <row r="8" spans="2:10" x14ac:dyDescent="0.25">
      <c r="B8" s="84" t="s">
        <v>1849</v>
      </c>
      <c r="C8" s="85" t="s">
        <v>1850</v>
      </c>
      <c r="D8" s="84" t="s">
        <v>1849</v>
      </c>
      <c r="E8" s="85" t="s">
        <v>1850</v>
      </c>
      <c r="F8" s="125" t="s">
        <v>1851</v>
      </c>
      <c r="G8" s="125" t="s">
        <v>1851</v>
      </c>
    </row>
    <row r="9" spans="2:10" x14ac:dyDescent="0.25">
      <c r="B9" s="84" t="s">
        <v>1852</v>
      </c>
      <c r="C9" s="85" t="s">
        <v>1853</v>
      </c>
      <c r="D9" s="84" t="s">
        <v>1852</v>
      </c>
      <c r="E9" s="85" t="s">
        <v>1853</v>
      </c>
      <c r="F9" s="125" t="s">
        <v>1854</v>
      </c>
      <c r="G9" s="125" t="s">
        <v>1854</v>
      </c>
    </row>
    <row r="10" spans="2:10" x14ac:dyDescent="0.25">
      <c r="B10" s="84" t="s">
        <v>1855</v>
      </c>
      <c r="C10" s="85" t="s">
        <v>1856</v>
      </c>
      <c r="D10" s="84" t="s">
        <v>1855</v>
      </c>
      <c r="E10" s="85" t="s">
        <v>1856</v>
      </c>
      <c r="F10" s="125" t="s">
        <v>155</v>
      </c>
      <c r="G10" s="125" t="s">
        <v>155</v>
      </c>
    </row>
    <row r="11" spans="2:10" x14ac:dyDescent="0.25">
      <c r="B11" s="84" t="s">
        <v>1857</v>
      </c>
      <c r="C11" s="85" t="s">
        <v>1858</v>
      </c>
      <c r="D11" s="84" t="s">
        <v>1857</v>
      </c>
      <c r="E11" s="85" t="s">
        <v>1858</v>
      </c>
      <c r="F11" s="125" t="s">
        <v>1859</v>
      </c>
      <c r="G11" s="125" t="s">
        <v>1859</v>
      </c>
    </row>
    <row r="12" spans="2:10" x14ac:dyDescent="0.25">
      <c r="B12" s="84" t="s">
        <v>1860</v>
      </c>
      <c r="C12" s="85" t="s">
        <v>1861</v>
      </c>
      <c r="D12" s="84" t="s">
        <v>1860</v>
      </c>
      <c r="E12" s="85" t="s">
        <v>1861</v>
      </c>
      <c r="F12" s="125" t="s">
        <v>1862</v>
      </c>
      <c r="G12" s="125" t="s">
        <v>1862</v>
      </c>
    </row>
    <row r="13" spans="2:10" x14ac:dyDescent="0.25">
      <c r="B13" s="84" t="s">
        <v>1863</v>
      </c>
      <c r="C13" s="85" t="s">
        <v>1864</v>
      </c>
      <c r="D13" s="84" t="s">
        <v>1863</v>
      </c>
      <c r="E13" s="85" t="s">
        <v>1864</v>
      </c>
      <c r="F13" s="125" t="s">
        <v>1865</v>
      </c>
      <c r="G13" s="125" t="s">
        <v>1865</v>
      </c>
    </row>
    <row r="14" spans="2:10" x14ac:dyDescent="0.25">
      <c r="B14" s="84" t="s">
        <v>1866</v>
      </c>
      <c r="C14" s="85" t="s">
        <v>1867</v>
      </c>
      <c r="D14" s="84" t="s">
        <v>1866</v>
      </c>
      <c r="E14" s="85" t="s">
        <v>1867</v>
      </c>
      <c r="F14" s="125" t="s">
        <v>1868</v>
      </c>
      <c r="G14" s="125" t="s">
        <v>1868</v>
      </c>
    </row>
    <row r="15" spans="2:10" x14ac:dyDescent="0.25">
      <c r="B15" s="84" t="s">
        <v>1869</v>
      </c>
      <c r="C15" s="85" t="s">
        <v>1870</v>
      </c>
      <c r="D15" s="84" t="s">
        <v>1869</v>
      </c>
      <c r="E15" s="85" t="s">
        <v>1870</v>
      </c>
      <c r="F15" s="125" t="s">
        <v>1871</v>
      </c>
      <c r="G15" s="125" t="s">
        <v>1871</v>
      </c>
    </row>
    <row r="16" spans="2:10" x14ac:dyDescent="0.25">
      <c r="B16" s="84" t="s">
        <v>1872</v>
      </c>
      <c r="C16" s="85" t="s">
        <v>1873</v>
      </c>
      <c r="D16" s="84" t="s">
        <v>1872</v>
      </c>
      <c r="E16" s="85" t="s">
        <v>1873</v>
      </c>
      <c r="F16" s="125" t="s">
        <v>1874</v>
      </c>
      <c r="G16" s="125" t="s">
        <v>1874</v>
      </c>
    </row>
    <row r="17" spans="2:7" x14ac:dyDescent="0.25">
      <c r="B17" s="84" t="s">
        <v>1875</v>
      </c>
      <c r="C17" s="85" t="s">
        <v>1876</v>
      </c>
      <c r="D17" s="84" t="s">
        <v>1875</v>
      </c>
      <c r="E17" s="85" t="s">
        <v>1876</v>
      </c>
      <c r="F17" s="125" t="s">
        <v>1877</v>
      </c>
      <c r="G17" s="125" t="s">
        <v>1877</v>
      </c>
    </row>
    <row r="18" spans="2:7" x14ac:dyDescent="0.25">
      <c r="B18" s="84" t="s">
        <v>1878</v>
      </c>
      <c r="C18" s="85" t="s">
        <v>1879</v>
      </c>
      <c r="D18" s="84" t="s">
        <v>1878</v>
      </c>
      <c r="E18" s="85" t="s">
        <v>1879</v>
      </c>
      <c r="F18" s="125" t="s">
        <v>1865</v>
      </c>
      <c r="G18" s="125" t="s">
        <v>1865</v>
      </c>
    </row>
    <row r="19" spans="2:7" x14ac:dyDescent="0.25">
      <c r="B19" s="84" t="s">
        <v>1880</v>
      </c>
      <c r="C19" s="85" t="s">
        <v>1881</v>
      </c>
      <c r="D19" s="84" t="s">
        <v>1880</v>
      </c>
      <c r="E19" s="85" t="s">
        <v>1881</v>
      </c>
      <c r="F19" s="125" t="s">
        <v>1882</v>
      </c>
      <c r="G19" s="125" t="s">
        <v>1882</v>
      </c>
    </row>
    <row r="20" spans="2:7" x14ac:dyDescent="0.25">
      <c r="B20" s="84" t="s">
        <v>1883</v>
      </c>
      <c r="C20" s="85" t="s">
        <v>1884</v>
      </c>
      <c r="D20" s="84" t="s">
        <v>1883</v>
      </c>
      <c r="E20" s="85" t="s">
        <v>1884</v>
      </c>
      <c r="F20" s="125" t="s">
        <v>1885</v>
      </c>
      <c r="G20" s="125" t="s">
        <v>1885</v>
      </c>
    </row>
    <row r="21" spans="2:7" x14ac:dyDescent="0.25">
      <c r="B21" s="84" t="s">
        <v>1886</v>
      </c>
      <c r="C21" s="85" t="s">
        <v>1887</v>
      </c>
      <c r="D21" s="84" t="s">
        <v>1886</v>
      </c>
      <c r="E21" s="85" t="s">
        <v>1887</v>
      </c>
      <c r="F21" s="125" t="s">
        <v>1888</v>
      </c>
      <c r="G21" s="125" t="s">
        <v>1888</v>
      </c>
    </row>
    <row r="22" spans="2:7" x14ac:dyDescent="0.25">
      <c r="B22" s="84" t="s">
        <v>1889</v>
      </c>
      <c r="C22" s="85" t="s">
        <v>1890</v>
      </c>
      <c r="D22" s="84" t="s">
        <v>1889</v>
      </c>
      <c r="E22" s="85" t="s">
        <v>1890</v>
      </c>
      <c r="F22" s="125" t="s">
        <v>1891</v>
      </c>
      <c r="G22" s="125" t="s">
        <v>1891</v>
      </c>
    </row>
    <row r="23" spans="2:7" x14ac:dyDescent="0.25">
      <c r="B23" s="84" t="s">
        <v>1892</v>
      </c>
      <c r="C23" s="85" t="s">
        <v>1893</v>
      </c>
      <c r="D23" s="84" t="s">
        <v>1892</v>
      </c>
      <c r="E23" s="85" t="s">
        <v>1893</v>
      </c>
      <c r="F23" s="125" t="s">
        <v>1894</v>
      </c>
      <c r="G23" s="125" t="s">
        <v>1894</v>
      </c>
    </row>
    <row r="24" spans="2:7" x14ac:dyDescent="0.25">
      <c r="B24" s="84" t="s">
        <v>1895</v>
      </c>
      <c r="C24" s="85" t="s">
        <v>1896</v>
      </c>
      <c r="D24" s="84" t="s">
        <v>1895</v>
      </c>
      <c r="E24" s="85" t="s">
        <v>1896</v>
      </c>
      <c r="F24" s="125" t="s">
        <v>86</v>
      </c>
      <c r="G24" s="125" t="s">
        <v>86</v>
      </c>
    </row>
    <row r="25" spans="2:7" x14ac:dyDescent="0.25">
      <c r="B25" s="84" t="s">
        <v>1897</v>
      </c>
      <c r="C25" s="85" t="s">
        <v>1898</v>
      </c>
      <c r="D25" s="84" t="s">
        <v>1897</v>
      </c>
      <c r="E25" s="85" t="s">
        <v>1898</v>
      </c>
      <c r="F25" s="125" t="s">
        <v>1899</v>
      </c>
      <c r="G25" s="125" t="s">
        <v>1899</v>
      </c>
    </row>
    <row r="26" spans="2:7" x14ac:dyDescent="0.25">
      <c r="B26" s="84" t="s">
        <v>1900</v>
      </c>
      <c r="C26" s="85" t="s">
        <v>1901</v>
      </c>
      <c r="D26" s="84" t="s">
        <v>1900</v>
      </c>
      <c r="E26" s="85" t="s">
        <v>1901</v>
      </c>
      <c r="F26" s="125" t="s">
        <v>1902</v>
      </c>
      <c r="G26" s="125" t="s">
        <v>1902</v>
      </c>
    </row>
    <row r="27" spans="2:7" x14ac:dyDescent="0.25">
      <c r="B27" s="84" t="s">
        <v>1903</v>
      </c>
      <c r="C27" s="85" t="s">
        <v>1904</v>
      </c>
      <c r="D27" s="84" t="s">
        <v>1903</v>
      </c>
      <c r="E27" s="85" t="s">
        <v>1904</v>
      </c>
      <c r="F27" s="125" t="s">
        <v>1905</v>
      </c>
      <c r="G27" s="125" t="s">
        <v>1905</v>
      </c>
    </row>
    <row r="28" spans="2:7" x14ac:dyDescent="0.25">
      <c r="B28" s="84" t="s">
        <v>1906</v>
      </c>
      <c r="C28" s="85" t="s">
        <v>1907</v>
      </c>
      <c r="D28" s="84" t="s">
        <v>1906</v>
      </c>
      <c r="E28" s="85" t="s">
        <v>1907</v>
      </c>
      <c r="F28" s="125" t="s">
        <v>1908</v>
      </c>
      <c r="G28" s="125" t="s">
        <v>1908</v>
      </c>
    </row>
    <row r="29" spans="2:7" x14ac:dyDescent="0.25">
      <c r="B29" s="84" t="s">
        <v>1909</v>
      </c>
      <c r="C29" s="85" t="s">
        <v>1910</v>
      </c>
      <c r="D29" s="84" t="s">
        <v>1909</v>
      </c>
      <c r="E29" s="85" t="s">
        <v>1910</v>
      </c>
      <c r="F29" s="125" t="s">
        <v>1911</v>
      </c>
      <c r="G29" s="125" t="s">
        <v>1911</v>
      </c>
    </row>
    <row r="30" spans="2:7" x14ac:dyDescent="0.25">
      <c r="B30" s="84" t="s">
        <v>1912</v>
      </c>
      <c r="C30" s="85" t="s">
        <v>1913</v>
      </c>
      <c r="D30" s="84" t="s">
        <v>1912</v>
      </c>
      <c r="E30" s="85" t="s">
        <v>1913</v>
      </c>
      <c r="F30" s="126" t="s">
        <v>1914</v>
      </c>
      <c r="G30" s="126" t="s">
        <v>1914</v>
      </c>
    </row>
    <row r="31" spans="2:7" x14ac:dyDescent="0.25">
      <c r="B31" s="84" t="s">
        <v>1915</v>
      </c>
      <c r="C31" s="85" t="s">
        <v>1916</v>
      </c>
      <c r="D31" s="84" t="s">
        <v>1915</v>
      </c>
      <c r="E31" s="85" t="s">
        <v>1916</v>
      </c>
    </row>
    <row r="32" spans="2:7" x14ac:dyDescent="0.25">
      <c r="B32" s="84" t="s">
        <v>1917</v>
      </c>
      <c r="C32" s="85" t="s">
        <v>1918</v>
      </c>
      <c r="D32" s="84" t="s">
        <v>1917</v>
      </c>
      <c r="E32" s="85" t="s">
        <v>1918</v>
      </c>
    </row>
    <row r="33" spans="2:5" x14ac:dyDescent="0.25">
      <c r="B33" s="84" t="s">
        <v>1919</v>
      </c>
      <c r="C33" s="85" t="s">
        <v>1920</v>
      </c>
      <c r="D33" s="84" t="s">
        <v>1919</v>
      </c>
      <c r="E33" s="85" t="s">
        <v>1920</v>
      </c>
    </row>
    <row r="34" spans="2:5" x14ac:dyDescent="0.25">
      <c r="B34" s="84" t="s">
        <v>1921</v>
      </c>
      <c r="C34" s="85" t="s">
        <v>1922</v>
      </c>
      <c r="D34" s="84" t="s">
        <v>1921</v>
      </c>
      <c r="E34" s="85" t="s">
        <v>1922</v>
      </c>
    </row>
    <row r="35" spans="2:5" x14ac:dyDescent="0.25">
      <c r="B35" s="84" t="s">
        <v>1923</v>
      </c>
      <c r="C35" s="85" t="s">
        <v>1924</v>
      </c>
      <c r="D35" s="84" t="s">
        <v>1923</v>
      </c>
      <c r="E35" s="85" t="s">
        <v>1924</v>
      </c>
    </row>
    <row r="36" spans="2:5" x14ac:dyDescent="0.25">
      <c r="B36" s="84" t="s">
        <v>1925</v>
      </c>
      <c r="C36" s="85" t="s">
        <v>1926</v>
      </c>
      <c r="D36" s="84" t="s">
        <v>1925</v>
      </c>
      <c r="E36" s="85" t="s">
        <v>1926</v>
      </c>
    </row>
    <row r="37" spans="2:5" x14ac:dyDescent="0.25">
      <c r="B37" s="84" t="s">
        <v>1927</v>
      </c>
      <c r="C37" s="85" t="s">
        <v>1928</v>
      </c>
      <c r="D37" s="84" t="s">
        <v>1927</v>
      </c>
      <c r="E37" s="85" t="s">
        <v>1928</v>
      </c>
    </row>
    <row r="38" spans="2:5" x14ac:dyDescent="0.25">
      <c r="B38" s="84" t="s">
        <v>1929</v>
      </c>
      <c r="C38" s="85" t="s">
        <v>1930</v>
      </c>
      <c r="D38" s="84" t="s">
        <v>1929</v>
      </c>
      <c r="E38" s="85" t="s">
        <v>1930</v>
      </c>
    </row>
    <row r="39" spans="2:5" x14ac:dyDescent="0.25">
      <c r="B39" s="84" t="s">
        <v>1931</v>
      </c>
      <c r="C39" s="85" t="s">
        <v>1932</v>
      </c>
      <c r="D39" s="84" t="s">
        <v>1931</v>
      </c>
      <c r="E39" s="85" t="s">
        <v>1932</v>
      </c>
    </row>
    <row r="40" spans="2:5" x14ac:dyDescent="0.25">
      <c r="B40" s="84" t="s">
        <v>1933</v>
      </c>
      <c r="C40" s="85" t="s">
        <v>1934</v>
      </c>
      <c r="D40" s="84" t="s">
        <v>1933</v>
      </c>
      <c r="E40" s="85" t="s">
        <v>1934</v>
      </c>
    </row>
    <row r="41" spans="2:5" x14ac:dyDescent="0.25">
      <c r="B41" s="84" t="s">
        <v>1935</v>
      </c>
      <c r="C41" s="85" t="s">
        <v>1936</v>
      </c>
      <c r="D41" s="84" t="s">
        <v>1935</v>
      </c>
      <c r="E41" s="85" t="s">
        <v>1936</v>
      </c>
    </row>
    <row r="42" spans="2:5" x14ac:dyDescent="0.25">
      <c r="B42" s="84" t="s">
        <v>1937</v>
      </c>
      <c r="C42" s="85" t="s">
        <v>1938</v>
      </c>
      <c r="D42" s="84" t="s">
        <v>1937</v>
      </c>
      <c r="E42" s="85" t="s">
        <v>1938</v>
      </c>
    </row>
    <row r="43" spans="2:5" x14ac:dyDescent="0.25">
      <c r="B43" s="84" t="s">
        <v>1939</v>
      </c>
      <c r="C43" s="85" t="s">
        <v>1940</v>
      </c>
      <c r="D43" s="84" t="s">
        <v>1939</v>
      </c>
      <c r="E43" s="85" t="s">
        <v>1940</v>
      </c>
    </row>
    <row r="44" spans="2:5" x14ac:dyDescent="0.25">
      <c r="B44" s="84" t="s">
        <v>1941</v>
      </c>
      <c r="C44" s="85" t="s">
        <v>1942</v>
      </c>
      <c r="D44" s="84" t="s">
        <v>1941</v>
      </c>
      <c r="E44" s="85" t="s">
        <v>1942</v>
      </c>
    </row>
    <row r="45" spans="2:5" x14ac:dyDescent="0.25">
      <c r="B45" s="84" t="s">
        <v>1943</v>
      </c>
      <c r="C45" s="85" t="s">
        <v>1944</v>
      </c>
      <c r="D45" s="84" t="s">
        <v>1943</v>
      </c>
      <c r="E45" s="85" t="s">
        <v>1944</v>
      </c>
    </row>
    <row r="46" spans="2:5" x14ac:dyDescent="0.25">
      <c r="B46" s="84" t="s">
        <v>1945</v>
      </c>
      <c r="C46" s="85" t="s">
        <v>1946</v>
      </c>
      <c r="D46" s="84" t="s">
        <v>1945</v>
      </c>
      <c r="E46" s="85" t="s">
        <v>1946</v>
      </c>
    </row>
    <row r="47" spans="2:5" x14ac:dyDescent="0.25">
      <c r="B47" s="84" t="s">
        <v>1947</v>
      </c>
      <c r="C47" s="85" t="s">
        <v>1948</v>
      </c>
      <c r="D47" s="84" t="s">
        <v>1947</v>
      </c>
      <c r="E47" s="85" t="s">
        <v>1948</v>
      </c>
    </row>
    <row r="48" spans="2:5" x14ac:dyDescent="0.25">
      <c r="B48" s="84" t="s">
        <v>1949</v>
      </c>
      <c r="C48" s="85" t="s">
        <v>1950</v>
      </c>
      <c r="D48" s="84" t="s">
        <v>1949</v>
      </c>
      <c r="E48" s="85" t="s">
        <v>1950</v>
      </c>
    </row>
    <row r="49" spans="2:8" x14ac:dyDescent="0.25">
      <c r="B49" s="84" t="s">
        <v>1951</v>
      </c>
      <c r="C49" s="85" t="s">
        <v>1952</v>
      </c>
      <c r="D49" s="84" t="s">
        <v>1951</v>
      </c>
      <c r="E49" s="85" t="s">
        <v>1952</v>
      </c>
    </row>
    <row r="50" spans="2:8" x14ac:dyDescent="0.25">
      <c r="B50" s="84" t="s">
        <v>1953</v>
      </c>
      <c r="C50" s="85" t="s">
        <v>1954</v>
      </c>
      <c r="D50" s="84" t="s">
        <v>1953</v>
      </c>
      <c r="E50" s="85" t="s">
        <v>1954</v>
      </c>
    </row>
    <row r="51" spans="2:8" x14ac:dyDescent="0.25">
      <c r="B51" s="84" t="s">
        <v>1955</v>
      </c>
      <c r="C51" s="85" t="s">
        <v>1956</v>
      </c>
      <c r="D51" s="84" t="s">
        <v>1955</v>
      </c>
      <c r="E51" s="85" t="s">
        <v>1956</v>
      </c>
    </row>
    <row r="52" spans="2:8" x14ac:dyDescent="0.25">
      <c r="B52" s="84" t="s">
        <v>1957</v>
      </c>
      <c r="C52" s="85" t="s">
        <v>1958</v>
      </c>
      <c r="D52" s="84" t="s">
        <v>1957</v>
      </c>
      <c r="E52" s="85" t="s">
        <v>1958</v>
      </c>
    </row>
    <row r="53" spans="2:8" x14ac:dyDescent="0.25">
      <c r="B53" s="86" t="s">
        <v>1959</v>
      </c>
      <c r="C53" s="87" t="s">
        <v>1960</v>
      </c>
      <c r="D53" s="86" t="s">
        <v>1959</v>
      </c>
      <c r="E53" s="87" t="s">
        <v>1960</v>
      </c>
      <c r="H53" s="151"/>
    </row>
    <row r="70" ht="15" customHeight="1" x14ac:dyDescent="0.25"/>
  </sheetData>
  <mergeCells count="3">
    <mergeCell ref="B3:C3"/>
    <mergeCell ref="B4:C4"/>
    <mergeCell ref="D4:E4"/>
  </mergeCells>
  <pageMargins left="0.7" right="0.7" top="0.75" bottom="0.75" header="0.3" footer="0.3"/>
  <pageSetup paperSize="9" orientation="portrait" r:id="rId1"/>
  <headerFooter>
    <oddFooter>&amp;LUnrestricted</oddFooter>
  </headerFooter>
  <customProperties>
    <customPr name="EpmWorksheetKeyString_GU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5"/>
  <sheetViews>
    <sheetView workbookViewId="0">
      <selection activeCell="B14" sqref="B14:H14"/>
    </sheetView>
  </sheetViews>
  <sheetFormatPr baseColWidth="10" defaultColWidth="9.140625" defaultRowHeight="15" x14ac:dyDescent="0.25"/>
  <cols>
    <col min="2" max="2" width="41.28515625" bestFit="1" customWidth="1"/>
  </cols>
  <sheetData>
    <row r="1" spans="1:2" x14ac:dyDescent="0.25">
      <c r="A1" t="s">
        <v>0</v>
      </c>
      <c r="B1" t="s">
        <v>1961</v>
      </c>
    </row>
    <row r="2" spans="1:2" x14ac:dyDescent="0.25">
      <c r="A2" t="s">
        <v>1962</v>
      </c>
    </row>
    <row r="3" spans="1:2" x14ac:dyDescent="0.25">
      <c r="A3">
        <v>1</v>
      </c>
      <c r="B3" t="s">
        <v>1963</v>
      </c>
    </row>
    <row r="4" spans="1:2" x14ac:dyDescent="0.25">
      <c r="A4">
        <v>2</v>
      </c>
      <c r="B4" t="s">
        <v>1964</v>
      </c>
    </row>
    <row r="5" spans="1:2" x14ac:dyDescent="0.25">
      <c r="A5">
        <v>3</v>
      </c>
      <c r="B5" t="s">
        <v>1965</v>
      </c>
    </row>
  </sheetData>
  <pageMargins left="0.7" right="0.7" top="0.75" bottom="0.75" header="0.3" footer="0.3"/>
  <pageSetup paperSize="9" orientation="portrait" r:id="rId1"/>
  <headerFooter>
    <oddFooter>&amp;LUnrestricted</oddFooter>
  </headerFooter>
  <customProperties>
    <customPr name="EpmWorksheetKeyString_GU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37724BD667844EAEF219B639ECC495" ma:contentTypeVersion="12" ma:contentTypeDescription="Create a new document." ma:contentTypeScope="" ma:versionID="855e72c7ddc61bc16618933fe0fa034b">
  <xsd:schema xmlns:xsd="http://www.w3.org/2001/XMLSchema" xmlns:xs="http://www.w3.org/2001/XMLSchema" xmlns:p="http://schemas.microsoft.com/office/2006/metadata/properties" xmlns:ns2="d6f72a90-0170-48ac-b97c-0dda9a775326" xmlns:ns3="a7d668a8-48e2-4342-93c5-e9ed635cbb82" targetNamespace="http://schemas.microsoft.com/office/2006/metadata/properties" ma:root="true" ma:fieldsID="eb25477e7521be8d7d097cd9cd87b415" ns2:_="" ns3:_="">
    <xsd:import namespace="d6f72a90-0170-48ac-b97c-0dda9a775326"/>
    <xsd:import namespace="a7d668a8-48e2-4342-93c5-e9ed635cbb8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f72a90-0170-48ac-b97c-0dda9a7753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e993f94-6c0e-4a87-8957-b0e4ba0de1a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7d668a8-48e2-4342-93c5-e9ed635cbb8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182ff9d-ff66-4d79-b1d3-955ca66b631e}" ma:internalName="TaxCatchAll" ma:showField="CatchAllData" ma:web="a7d668a8-48e2-4342-93c5-e9ed635cbb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7d668a8-48e2-4342-93c5-e9ed635cbb82" xsi:nil="true"/>
    <lcf76f155ced4ddcb4097134ff3c332f xmlns="d6f72a90-0170-48ac-b97c-0dda9a77532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70985D-D2E5-47D2-83EE-C9B3F61AD8AA}"/>
</file>

<file path=customXml/itemProps2.xml><?xml version="1.0" encoding="utf-8"?>
<ds:datastoreItem xmlns:ds="http://schemas.openxmlformats.org/officeDocument/2006/customXml" ds:itemID="{40C9484C-E53A-4F51-9C55-669A726FA893}">
  <ds:schemaRefs>
    <ds:schemaRef ds:uri="http://schemas.microsoft.com/office/2006/metadata/properties"/>
    <ds:schemaRef ds:uri="http://schemas.openxmlformats.org/package/2006/metadata/core-properties"/>
    <ds:schemaRef ds:uri="http://schemas.microsoft.com/office/2006/documentManagement/types"/>
    <ds:schemaRef ds:uri="http://purl.org/dc/dcmitype/"/>
    <ds:schemaRef ds:uri="http://purl.org/dc/elements/1.1/"/>
    <ds:schemaRef ds:uri="4c22e2e9-2222-44f9-ad25-d62945a14dfd"/>
    <ds:schemaRef ds:uri="http://purl.org/dc/terms/"/>
    <ds:schemaRef ds:uri="http://schemas.microsoft.com/office/infopath/2007/PartnerControls"/>
    <ds:schemaRef ds:uri="478f7ced-ea46-4c87-ab4c-93e7fdfd7c0b"/>
    <ds:schemaRef ds:uri="http://www.w3.org/XML/1998/namespace"/>
  </ds:schemaRefs>
</ds:datastoreItem>
</file>

<file path=customXml/itemProps3.xml><?xml version="1.0" encoding="utf-8"?>
<ds:datastoreItem xmlns:ds="http://schemas.openxmlformats.org/officeDocument/2006/customXml" ds:itemID="{2E435C84-1651-448E-A89A-F77D31F3348E}">
  <ds:schemaRefs>
    <ds:schemaRef ds:uri="http://schemas.microsoft.com/sharepoint/v3/contenttype/forms"/>
  </ds:schemaRefs>
</ds:datastoreItem>
</file>

<file path=docMetadata/LabelInfo.xml><?xml version="1.0" encoding="utf-8"?>
<clbl:labelList xmlns:clbl="http://schemas.microsoft.com/office/2020/mipLabelMetadata">
  <clbl:label id="{6f75f480-7803-4ee9-bb54-84d0635fdbe7}" enabled="1" method="Privileged" siteId="{38ae3bcd-9579-4fd4-adda-b42e1495d55a}"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44</vt:i4>
      </vt:variant>
    </vt:vector>
  </HeadingPairs>
  <TitlesOfParts>
    <vt:vector size="55" baseType="lpstr">
      <vt:lpstr>Summary</vt:lpstr>
      <vt:lpstr>Material (1,2,3)</vt:lpstr>
      <vt:lpstr>Manufacturing (6,7,8,9)</vt:lpstr>
      <vt:lpstr>Tools and Devices (16,24)</vt:lpstr>
      <vt:lpstr>Languages</vt:lpstr>
      <vt:lpstr>MHR</vt:lpstr>
      <vt:lpstr>LHR</vt:lpstr>
      <vt:lpstr>Help</vt:lpstr>
      <vt:lpstr>Docu. TcPCM and Excel</vt:lpstr>
      <vt:lpstr>Assumptions</vt:lpstr>
      <vt:lpstr>Change log</vt:lpstr>
      <vt:lpstr>CalculationQualities</vt:lpstr>
      <vt:lpstr>CarbonTax</vt:lpstr>
      <vt:lpstr>CylceTimeUnit</vt:lpstr>
      <vt:lpstr>Dropdown</vt:lpstr>
      <vt:lpstr>'Docu. TcPCM and Excel'!Druckbereich</vt:lpstr>
      <vt:lpstr>Help!Druckbereich</vt:lpstr>
      <vt:lpstr>LHR!Druckbereich</vt:lpstr>
      <vt:lpstr>'Manufacturing (6,7,8,9)'!Druckbereich</vt:lpstr>
      <vt:lpstr>'Material (1,2,3)'!Druckbereich</vt:lpstr>
      <vt:lpstr>MHR!Druckbereich</vt:lpstr>
      <vt:lpstr>Summary!Druckbereich</vt:lpstr>
      <vt:lpstr>'Tools and Devices (16,24)'!Druckbereich</vt:lpstr>
      <vt:lpstr>InterestOnMaterialStock</vt:lpstr>
      <vt:lpstr>InterestOnWorkInProgress</vt:lpstr>
      <vt:lpstr>ManufacturingComment</vt:lpstr>
      <vt:lpstr>MaterialCarbonFootprintOverhead</vt:lpstr>
      <vt:lpstr>MaterialCarbonFootprintOverheadRate</vt:lpstr>
      <vt:lpstr>MaterialClass</vt:lpstr>
      <vt:lpstr>MaterialComment</vt:lpstr>
      <vt:lpstr>MaterialScrap</vt:lpstr>
      <vt:lpstr>MaterialScrapCarbonFootprint</vt:lpstr>
      <vt:lpstr>MOV</vt:lpstr>
      <vt:lpstr>OtherCarbonFootprint</vt:lpstr>
      <vt:lpstr>OtherCosts</vt:lpstr>
      <vt:lpstr>PlantCarbonFootprint</vt:lpstr>
      <vt:lpstr>Profit</vt:lpstr>
      <vt:lpstr>PurchasedPart</vt:lpstr>
      <vt:lpstr>PurchasingCurrency</vt:lpstr>
      <vt:lpstr>PurchasingUnit</vt:lpstr>
      <vt:lpstr>QuotationCurrency</vt:lpstr>
      <vt:lpstr>QuotationUnit</vt:lpstr>
      <vt:lpstr>RawMaterial</vt:lpstr>
      <vt:lpstr>ResearchAndDevelopmentCostRate</vt:lpstr>
      <vt:lpstr>ResearchAndDevelopmentCosts</vt:lpstr>
      <vt:lpstr>Rough</vt:lpstr>
      <vt:lpstr>SalesAndGeneralAdministrationCostRate</vt:lpstr>
      <vt:lpstr>SalesAndGeneralAdministrationCosts</vt:lpstr>
      <vt:lpstr>SpecificDevelopmentCostsAllocated</vt:lpstr>
      <vt:lpstr>SpecificdevelopmentCostsOnetimePayments</vt:lpstr>
      <vt:lpstr>TermsOfPayment</vt:lpstr>
      <vt:lpstr>ToolsComment</vt:lpstr>
      <vt:lpstr>TransportCarbonFootprint</vt:lpstr>
      <vt:lpstr>TransportDuties</vt:lpstr>
      <vt:lpstr>Wording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C_Unrestricted</cp:keywords>
  <dc:description/>
  <cp:lastModifiedBy/>
  <cp:revision/>
  <dcterms:created xsi:type="dcterms:W3CDTF">2006-09-16T00:00:00Z</dcterms:created>
  <dcterms:modified xsi:type="dcterms:W3CDTF">2026-02-11T12:55:08Z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Confidentiality">
    <vt:lpwstr>Unrestricted</vt:lpwstr>
  </property>
  <property fmtid="{D5CDD505-2E9C-101B-9397-08002B2CF9AE}" pid="3" name="MSIP_Label_6f75f480-7803-4ee9-bb54-84d0635fdbe7_Enabled">
    <vt:lpwstr>true</vt:lpwstr>
  </property>
  <property fmtid="{D5CDD505-2E9C-101B-9397-08002B2CF9AE}" pid="4" name="MSIP_Label_6f75f480-7803-4ee9-bb54-84d0635fdbe7_SetDate">
    <vt:lpwstr>2023-10-18T20:18:32Z</vt:lpwstr>
  </property>
  <property fmtid="{D5CDD505-2E9C-101B-9397-08002B2CF9AE}" pid="5" name="MSIP_Label_6f75f480-7803-4ee9-bb54-84d0635fdbe7_Method">
    <vt:lpwstr>Privileged</vt:lpwstr>
  </property>
  <property fmtid="{D5CDD505-2E9C-101B-9397-08002B2CF9AE}" pid="6" name="MSIP_Label_6f75f480-7803-4ee9-bb54-84d0635fdbe7_Name">
    <vt:lpwstr>unrestricted</vt:lpwstr>
  </property>
  <property fmtid="{D5CDD505-2E9C-101B-9397-08002B2CF9AE}" pid="7" name="MSIP_Label_6f75f480-7803-4ee9-bb54-84d0635fdbe7_SiteId">
    <vt:lpwstr>38ae3bcd-9579-4fd4-adda-b42e1495d55a</vt:lpwstr>
  </property>
  <property fmtid="{D5CDD505-2E9C-101B-9397-08002B2CF9AE}" pid="8" name="MSIP_Label_6f75f480-7803-4ee9-bb54-84d0635fdbe7_ActionId">
    <vt:lpwstr>8757f6ba-2510-4f25-af09-20188a2e186b</vt:lpwstr>
  </property>
  <property fmtid="{D5CDD505-2E9C-101B-9397-08002B2CF9AE}" pid="9" name="MSIP_Label_6f75f480-7803-4ee9-bb54-84d0635fdbe7_ContentBits">
    <vt:lpwstr>0</vt:lpwstr>
  </property>
  <property fmtid="{D5CDD505-2E9C-101B-9397-08002B2CF9AE}" pid="10" name="Document_Confidentiality">
    <vt:lpwstr>Unrestricted</vt:lpwstr>
  </property>
  <property fmtid="{D5CDD505-2E9C-101B-9397-08002B2CF9AE}" pid="11" name="ContentTypeId">
    <vt:lpwstr>0x0101009437724BD667844EAEF219B639ECC495</vt:lpwstr>
  </property>
  <property fmtid="{D5CDD505-2E9C-101B-9397-08002B2CF9AE}" pid="12" name="MediaServiceImageTags">
    <vt:lpwstr/>
  </property>
</Properties>
</file>